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pecaicedo\Desktop\EMCALI 2020\COORDINACION ADM\BASE DE DATOS UGA\"/>
    </mc:Choice>
  </mc:AlternateContent>
  <bookViews>
    <workbookView xWindow="0" yWindow="0" windowWidth="28800" windowHeight="12135"/>
  </bookViews>
  <sheets>
    <sheet name="CONSOLIDADO" sheetId="1" r:id="rId1"/>
    <sheet name="INF EJEC" sheetId="34" r:id="rId2"/>
    <sheet name="CONTROL" sheetId="37" r:id="rId3"/>
    <sheet name="GESTOR" sheetId="39" r:id="rId4"/>
    <sheet name="DÍAS PÚBL" sheetId="29" r:id="rId5"/>
    <sheet name="DÍAS PRIV" sheetId="30" r:id="rId6"/>
    <sheet name="AHORRO" sheetId="31" r:id="rId7"/>
    <sheet name="FESTIVOS" sheetId="32" r:id="rId8"/>
  </sheets>
  <externalReferences>
    <externalReference r:id="rId9"/>
    <externalReference r:id="rId10"/>
    <externalReference r:id="rId11"/>
    <externalReference r:id="rId12"/>
    <externalReference r:id="rId13"/>
    <externalReference r:id="rId14"/>
    <externalReference r:id="rId15"/>
  </externalReferences>
  <definedNames>
    <definedName name="_xlnm._FilterDatabase" localSheetId="0" hidden="1">CONSOLIDADO!$A$3:$BQ$632</definedName>
  </definedNames>
  <calcPr calcId="152511"/>
  <pivotCaches>
    <pivotCache cacheId="6" r:id="rId16"/>
    <pivotCache cacheId="7" r:id="rId17"/>
    <pivotCache cacheId="8" r:id="rId18"/>
    <pivotCache cacheId="9" r:id="rId19"/>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Z632" i="1" l="1"/>
  <c r="AZ631" i="1"/>
  <c r="AZ630" i="1"/>
  <c r="AZ629" i="1"/>
  <c r="AZ628" i="1"/>
  <c r="AZ627" i="1"/>
  <c r="AZ626" i="1"/>
  <c r="AZ625" i="1"/>
  <c r="AZ624" i="1"/>
  <c r="AZ623" i="1"/>
  <c r="AZ622" i="1"/>
  <c r="AZ621" i="1"/>
  <c r="AZ620" i="1"/>
  <c r="AZ619" i="1"/>
  <c r="AZ618" i="1"/>
  <c r="AZ617" i="1"/>
  <c r="AZ616" i="1"/>
  <c r="AZ615" i="1"/>
  <c r="AZ614" i="1"/>
  <c r="AZ613" i="1"/>
  <c r="AZ612" i="1"/>
  <c r="AZ611" i="1"/>
  <c r="AZ610" i="1"/>
  <c r="AZ609" i="1"/>
  <c r="AZ608" i="1"/>
  <c r="AZ607" i="1"/>
  <c r="AZ606" i="1"/>
  <c r="AZ605" i="1"/>
  <c r="AZ604" i="1"/>
  <c r="AZ603" i="1"/>
  <c r="AZ602" i="1"/>
  <c r="AZ601" i="1"/>
  <c r="AZ600" i="1"/>
  <c r="AZ599" i="1"/>
  <c r="AZ598" i="1"/>
  <c r="AZ597" i="1"/>
  <c r="AZ596" i="1"/>
  <c r="AZ595" i="1"/>
  <c r="AZ594" i="1"/>
  <c r="AZ593" i="1"/>
  <c r="AZ592" i="1"/>
  <c r="AZ591" i="1"/>
  <c r="AZ590" i="1"/>
  <c r="AZ589" i="1"/>
  <c r="AZ588" i="1"/>
  <c r="AZ587" i="1"/>
  <c r="AZ586" i="1"/>
  <c r="AZ585" i="1"/>
  <c r="AZ584" i="1"/>
  <c r="AZ583" i="1"/>
  <c r="AZ582" i="1"/>
  <c r="AZ581" i="1"/>
  <c r="AZ580" i="1"/>
  <c r="AZ579" i="1"/>
  <c r="AZ578" i="1"/>
  <c r="AZ577" i="1"/>
  <c r="AZ576" i="1"/>
  <c r="AZ575" i="1"/>
  <c r="AZ574" i="1"/>
  <c r="AZ573" i="1"/>
  <c r="AZ572" i="1"/>
  <c r="AZ571" i="1"/>
  <c r="AZ570" i="1"/>
  <c r="AZ569" i="1"/>
  <c r="AZ568" i="1"/>
  <c r="AZ567" i="1"/>
  <c r="AZ566" i="1"/>
  <c r="AZ565" i="1"/>
  <c r="AZ564" i="1"/>
  <c r="AZ563" i="1"/>
  <c r="AZ562" i="1"/>
  <c r="AZ561" i="1"/>
  <c r="AZ560" i="1"/>
  <c r="AZ559" i="1"/>
  <c r="AZ558" i="1"/>
  <c r="AZ557" i="1"/>
  <c r="AZ556" i="1"/>
  <c r="AZ555" i="1"/>
  <c r="AZ554" i="1"/>
  <c r="AZ553" i="1"/>
  <c r="AZ552" i="1"/>
  <c r="AZ551" i="1"/>
  <c r="AZ550" i="1"/>
  <c r="AZ549" i="1"/>
  <c r="AZ548" i="1"/>
  <c r="AZ547" i="1"/>
  <c r="AZ546" i="1"/>
  <c r="AZ545" i="1"/>
  <c r="AZ544" i="1"/>
  <c r="AZ543" i="1"/>
  <c r="AZ542" i="1"/>
  <c r="AZ541" i="1"/>
  <c r="AZ540" i="1"/>
  <c r="AZ539" i="1"/>
  <c r="AZ538" i="1"/>
  <c r="AZ537" i="1"/>
  <c r="AZ536" i="1"/>
  <c r="AZ535" i="1"/>
  <c r="AZ534" i="1"/>
  <c r="AZ533" i="1"/>
  <c r="AZ532" i="1"/>
  <c r="AZ531" i="1"/>
  <c r="AZ530" i="1"/>
  <c r="AZ529" i="1"/>
  <c r="AZ528" i="1"/>
  <c r="AZ527" i="1"/>
  <c r="AZ526" i="1"/>
  <c r="AZ525" i="1"/>
  <c r="AZ524" i="1"/>
  <c r="AZ523" i="1"/>
  <c r="AZ522" i="1"/>
  <c r="AZ521" i="1"/>
  <c r="AZ520" i="1"/>
  <c r="AZ519" i="1"/>
  <c r="AZ518" i="1"/>
  <c r="AZ517" i="1"/>
  <c r="AZ516" i="1"/>
  <c r="AZ515" i="1"/>
  <c r="AZ514" i="1"/>
  <c r="AZ513" i="1"/>
  <c r="AZ512" i="1"/>
  <c r="AZ511" i="1"/>
  <c r="AZ510" i="1"/>
  <c r="AZ509" i="1"/>
  <c r="AZ508" i="1"/>
  <c r="AZ507" i="1"/>
  <c r="AZ506" i="1"/>
  <c r="AZ505" i="1"/>
  <c r="AZ504" i="1"/>
  <c r="AZ503" i="1"/>
  <c r="AZ502" i="1"/>
  <c r="AZ501" i="1"/>
  <c r="AZ500" i="1"/>
  <c r="AZ499" i="1"/>
  <c r="AZ498" i="1"/>
  <c r="AZ497" i="1"/>
  <c r="AZ496" i="1"/>
  <c r="AZ495" i="1"/>
  <c r="AZ494" i="1"/>
  <c r="AZ493" i="1"/>
  <c r="AZ492" i="1"/>
  <c r="AZ491" i="1"/>
  <c r="AZ490" i="1"/>
  <c r="AZ489" i="1"/>
  <c r="AZ488" i="1"/>
  <c r="AZ487" i="1"/>
  <c r="AZ486" i="1"/>
  <c r="AZ485" i="1"/>
  <c r="AZ484" i="1"/>
  <c r="AZ483" i="1"/>
  <c r="AZ482" i="1"/>
  <c r="AZ481" i="1"/>
  <c r="AZ480" i="1"/>
  <c r="AZ479" i="1"/>
  <c r="AZ478" i="1"/>
  <c r="AZ477" i="1"/>
  <c r="AZ476" i="1"/>
  <c r="AZ475" i="1"/>
  <c r="AZ474" i="1"/>
  <c r="AZ473" i="1"/>
  <c r="AZ472" i="1"/>
  <c r="AZ471" i="1"/>
  <c r="AZ470" i="1"/>
  <c r="AZ469" i="1"/>
  <c r="AZ468" i="1"/>
  <c r="AZ467" i="1"/>
  <c r="AZ466" i="1"/>
  <c r="AZ465" i="1"/>
  <c r="AZ464" i="1"/>
  <c r="AZ463" i="1"/>
  <c r="AZ462" i="1"/>
  <c r="AZ461" i="1"/>
  <c r="AZ460" i="1"/>
  <c r="AZ459" i="1"/>
  <c r="AZ458" i="1"/>
  <c r="AZ457" i="1"/>
  <c r="AZ456" i="1"/>
  <c r="AZ455" i="1"/>
  <c r="AZ454" i="1"/>
  <c r="AZ453" i="1"/>
  <c r="AZ452" i="1"/>
  <c r="AZ451" i="1"/>
  <c r="AZ450" i="1"/>
  <c r="AZ449" i="1"/>
  <c r="AZ448" i="1"/>
  <c r="AZ447" i="1"/>
  <c r="AZ446" i="1"/>
  <c r="AZ445" i="1"/>
  <c r="AZ444" i="1"/>
  <c r="AZ443" i="1"/>
  <c r="AZ442" i="1"/>
  <c r="AZ441" i="1"/>
  <c r="AZ440" i="1"/>
  <c r="AZ439" i="1"/>
  <c r="AZ438" i="1"/>
  <c r="AZ437" i="1"/>
  <c r="AZ436" i="1"/>
  <c r="AZ435" i="1"/>
  <c r="AZ434" i="1"/>
  <c r="AZ433" i="1"/>
  <c r="AZ432" i="1"/>
  <c r="AZ431" i="1"/>
  <c r="AZ430" i="1"/>
  <c r="AZ429" i="1"/>
  <c r="AZ428" i="1"/>
  <c r="AZ427" i="1"/>
  <c r="AZ426" i="1"/>
  <c r="AZ425" i="1"/>
  <c r="AZ424" i="1"/>
  <c r="AZ423" i="1"/>
  <c r="AZ422" i="1"/>
  <c r="AZ421" i="1"/>
  <c r="AZ420" i="1"/>
  <c r="AZ419" i="1"/>
  <c r="AZ418" i="1"/>
  <c r="AZ417" i="1"/>
  <c r="AZ416" i="1"/>
  <c r="AZ415" i="1"/>
  <c r="AZ414" i="1"/>
  <c r="AZ413" i="1"/>
  <c r="AZ412" i="1"/>
  <c r="AZ411" i="1"/>
  <c r="AZ410" i="1"/>
  <c r="AZ409" i="1"/>
  <c r="AZ408" i="1"/>
  <c r="AZ407" i="1"/>
  <c r="AZ406" i="1"/>
  <c r="AZ405" i="1"/>
  <c r="AZ404" i="1"/>
  <c r="AZ403" i="1"/>
  <c r="AZ402" i="1"/>
  <c r="AZ401" i="1"/>
  <c r="AZ400" i="1"/>
  <c r="AZ399" i="1"/>
  <c r="AZ398" i="1"/>
  <c r="AZ397" i="1"/>
  <c r="AZ396" i="1"/>
  <c r="AZ395" i="1"/>
  <c r="AZ394" i="1"/>
  <c r="AZ393" i="1"/>
  <c r="AZ392" i="1"/>
  <c r="AZ391" i="1"/>
  <c r="AZ390" i="1"/>
  <c r="AZ389" i="1"/>
  <c r="AZ388" i="1"/>
  <c r="AZ387" i="1"/>
  <c r="AZ386" i="1"/>
  <c r="AZ385" i="1"/>
  <c r="AZ384" i="1"/>
  <c r="AZ383" i="1"/>
  <c r="AZ382" i="1"/>
  <c r="AZ381" i="1"/>
  <c r="AZ380" i="1"/>
  <c r="AZ379" i="1"/>
  <c r="AZ378" i="1"/>
  <c r="AZ377" i="1"/>
  <c r="AZ376" i="1"/>
  <c r="AZ375" i="1"/>
  <c r="AZ374" i="1"/>
  <c r="AZ373" i="1"/>
  <c r="AZ372" i="1"/>
  <c r="AZ371" i="1"/>
  <c r="AZ370" i="1"/>
  <c r="AZ369" i="1"/>
  <c r="AZ368" i="1"/>
  <c r="AZ367" i="1"/>
  <c r="AZ366" i="1"/>
  <c r="AZ365" i="1"/>
  <c r="AZ364" i="1"/>
  <c r="AZ363" i="1"/>
  <c r="AZ362" i="1"/>
  <c r="AZ361" i="1"/>
  <c r="AZ360" i="1"/>
  <c r="AZ359" i="1"/>
  <c r="AZ358" i="1"/>
  <c r="AZ357" i="1"/>
  <c r="AZ356" i="1"/>
  <c r="AZ355" i="1"/>
  <c r="AZ354" i="1"/>
  <c r="AZ353" i="1"/>
  <c r="AZ352" i="1"/>
  <c r="AZ351" i="1"/>
  <c r="AZ350" i="1"/>
  <c r="AZ349" i="1"/>
  <c r="AZ348" i="1"/>
  <c r="AZ347" i="1"/>
  <c r="AZ346" i="1"/>
  <c r="AZ345" i="1"/>
  <c r="AZ344" i="1"/>
  <c r="AZ343" i="1"/>
  <c r="AZ342" i="1"/>
  <c r="AZ341" i="1"/>
  <c r="AZ340" i="1"/>
  <c r="AZ339" i="1"/>
  <c r="AZ338" i="1"/>
  <c r="AZ337" i="1"/>
  <c r="AZ336" i="1"/>
  <c r="AZ335" i="1"/>
  <c r="AZ334" i="1"/>
  <c r="AZ333" i="1"/>
  <c r="AZ332" i="1"/>
  <c r="AZ331" i="1"/>
  <c r="AZ330" i="1"/>
  <c r="AZ329" i="1"/>
  <c r="AZ328" i="1"/>
  <c r="AZ327" i="1"/>
  <c r="AZ326" i="1"/>
  <c r="AZ325" i="1"/>
  <c r="AZ324" i="1"/>
  <c r="AZ323" i="1"/>
  <c r="AZ322" i="1"/>
  <c r="AZ321" i="1"/>
  <c r="AZ320" i="1"/>
  <c r="AZ319" i="1"/>
  <c r="AZ318" i="1"/>
  <c r="AZ317" i="1"/>
  <c r="AZ316" i="1"/>
  <c r="AZ315" i="1"/>
  <c r="AZ314" i="1"/>
  <c r="AZ313" i="1"/>
  <c r="AZ312" i="1"/>
  <c r="AZ311" i="1"/>
  <c r="AZ310" i="1"/>
  <c r="AZ309" i="1"/>
  <c r="AZ308" i="1"/>
  <c r="AZ307" i="1"/>
  <c r="AZ306" i="1"/>
  <c r="AZ305" i="1"/>
  <c r="AZ304" i="1"/>
  <c r="AZ303" i="1"/>
  <c r="AZ302" i="1"/>
  <c r="AZ301" i="1"/>
  <c r="AZ300" i="1"/>
  <c r="AZ299" i="1"/>
  <c r="AZ298" i="1"/>
  <c r="AZ297" i="1"/>
  <c r="AZ296" i="1"/>
  <c r="AZ295" i="1"/>
  <c r="AZ294" i="1"/>
  <c r="AZ293" i="1"/>
  <c r="AZ292" i="1"/>
  <c r="AZ291" i="1"/>
  <c r="AZ290" i="1"/>
  <c r="AZ289" i="1"/>
  <c r="AZ288" i="1"/>
  <c r="AZ287" i="1"/>
  <c r="AZ286" i="1"/>
  <c r="AZ285" i="1"/>
  <c r="AZ284" i="1"/>
  <c r="AZ283" i="1"/>
  <c r="AZ282" i="1"/>
  <c r="AZ281" i="1"/>
  <c r="AZ280" i="1"/>
  <c r="AZ279" i="1"/>
  <c r="AZ278" i="1"/>
  <c r="AZ277" i="1"/>
  <c r="AZ276" i="1"/>
  <c r="AZ275" i="1"/>
  <c r="AZ274" i="1"/>
  <c r="AZ273" i="1"/>
  <c r="AZ272" i="1"/>
  <c r="AZ271" i="1"/>
  <c r="AZ270" i="1"/>
  <c r="AZ269" i="1"/>
  <c r="AZ268" i="1"/>
  <c r="AZ267" i="1"/>
  <c r="AZ266" i="1"/>
  <c r="AZ265" i="1"/>
  <c r="AZ264" i="1"/>
  <c r="AZ263" i="1"/>
  <c r="AZ262" i="1"/>
  <c r="AZ261" i="1"/>
  <c r="AZ260" i="1"/>
  <c r="AZ259" i="1"/>
  <c r="AZ258" i="1"/>
  <c r="AZ257" i="1"/>
  <c r="AZ256" i="1"/>
  <c r="AZ255" i="1"/>
  <c r="AZ254" i="1"/>
  <c r="AZ253" i="1"/>
  <c r="AZ252" i="1"/>
  <c r="AZ251" i="1"/>
  <c r="AZ250" i="1"/>
  <c r="AZ249" i="1"/>
  <c r="AZ248" i="1"/>
  <c r="AZ247" i="1"/>
  <c r="AZ246" i="1"/>
  <c r="AZ245" i="1"/>
  <c r="AZ244" i="1"/>
  <c r="AZ243" i="1"/>
  <c r="AZ242" i="1"/>
  <c r="AZ241" i="1"/>
  <c r="AZ240" i="1"/>
  <c r="AZ239" i="1"/>
  <c r="AZ238" i="1"/>
  <c r="AZ237" i="1"/>
  <c r="AZ236" i="1"/>
  <c r="AZ235" i="1"/>
  <c r="AZ234" i="1"/>
  <c r="AZ233" i="1"/>
  <c r="AZ232" i="1"/>
  <c r="AZ231" i="1"/>
  <c r="AZ230" i="1"/>
  <c r="AZ229" i="1"/>
  <c r="AZ228" i="1"/>
  <c r="AZ227" i="1"/>
  <c r="AZ226" i="1"/>
  <c r="AZ225" i="1"/>
  <c r="AZ224" i="1"/>
  <c r="AZ223" i="1"/>
  <c r="AZ222" i="1"/>
  <c r="AZ221" i="1"/>
  <c r="AZ220" i="1"/>
  <c r="AZ219" i="1"/>
  <c r="AZ218" i="1"/>
  <c r="AZ217" i="1"/>
  <c r="AZ216" i="1"/>
  <c r="AZ215" i="1"/>
  <c r="AZ214" i="1"/>
  <c r="AZ213" i="1"/>
  <c r="AZ212" i="1"/>
  <c r="AZ211" i="1"/>
  <c r="AZ210" i="1"/>
  <c r="AZ209" i="1"/>
  <c r="AZ208" i="1"/>
  <c r="AZ207" i="1"/>
  <c r="AZ206" i="1"/>
  <c r="AZ205" i="1"/>
  <c r="AZ204" i="1"/>
  <c r="AZ203" i="1"/>
  <c r="AZ202" i="1"/>
  <c r="AZ201" i="1"/>
  <c r="AZ200" i="1"/>
  <c r="AZ199" i="1"/>
  <c r="AZ198" i="1"/>
  <c r="AZ197" i="1"/>
  <c r="AZ196" i="1"/>
  <c r="AZ195" i="1"/>
  <c r="AZ194" i="1"/>
  <c r="AZ193" i="1"/>
  <c r="AZ192" i="1"/>
  <c r="AZ191" i="1"/>
  <c r="AZ190" i="1"/>
  <c r="AZ189" i="1"/>
  <c r="AZ188" i="1"/>
  <c r="AZ187" i="1"/>
  <c r="AZ186" i="1"/>
  <c r="AZ185" i="1"/>
  <c r="AZ184" i="1"/>
  <c r="AZ183" i="1"/>
  <c r="AZ182" i="1"/>
  <c r="AZ181" i="1"/>
  <c r="AZ180" i="1"/>
  <c r="AZ179" i="1"/>
  <c r="AZ178" i="1"/>
  <c r="AZ177" i="1"/>
  <c r="AZ176" i="1"/>
  <c r="AZ175" i="1"/>
  <c r="AZ174" i="1"/>
  <c r="AZ173" i="1"/>
  <c r="AZ172" i="1"/>
  <c r="AZ171" i="1"/>
  <c r="AZ170" i="1"/>
  <c r="AZ169" i="1"/>
  <c r="AZ168" i="1"/>
  <c r="AZ167" i="1"/>
  <c r="AZ166" i="1"/>
  <c r="AZ165" i="1"/>
  <c r="AZ164" i="1"/>
  <c r="AZ163" i="1"/>
  <c r="AZ162" i="1"/>
  <c r="AZ161" i="1"/>
  <c r="AZ160" i="1"/>
  <c r="AZ159" i="1"/>
  <c r="AZ158" i="1"/>
  <c r="AZ157" i="1"/>
  <c r="AZ156" i="1"/>
  <c r="AZ155" i="1"/>
  <c r="AZ154" i="1"/>
  <c r="AZ153" i="1"/>
  <c r="AZ152" i="1"/>
  <c r="AZ151" i="1"/>
  <c r="AZ150" i="1"/>
  <c r="AZ149" i="1"/>
  <c r="AZ148" i="1"/>
  <c r="AZ147" i="1"/>
  <c r="AZ146" i="1"/>
  <c r="AZ145" i="1"/>
  <c r="AZ144" i="1"/>
  <c r="AZ143" i="1"/>
  <c r="AZ142" i="1"/>
  <c r="AZ141" i="1"/>
  <c r="AZ140" i="1"/>
  <c r="AZ139" i="1"/>
  <c r="AZ138" i="1"/>
  <c r="AZ137" i="1"/>
  <c r="AZ136" i="1"/>
  <c r="AZ135" i="1"/>
  <c r="AZ134" i="1"/>
  <c r="AZ133" i="1"/>
  <c r="AZ132" i="1"/>
  <c r="AZ131" i="1"/>
  <c r="AZ130" i="1"/>
  <c r="AZ129" i="1"/>
  <c r="AZ128" i="1"/>
  <c r="AZ127" i="1"/>
  <c r="AZ126" i="1"/>
  <c r="AZ125" i="1"/>
  <c r="AZ124" i="1"/>
  <c r="AZ123" i="1"/>
  <c r="AZ122" i="1"/>
  <c r="AZ121" i="1"/>
  <c r="AZ120" i="1"/>
  <c r="AZ119" i="1"/>
  <c r="AZ118" i="1"/>
  <c r="AZ117" i="1"/>
  <c r="AZ116" i="1"/>
  <c r="AZ115" i="1"/>
  <c r="AZ114" i="1"/>
  <c r="AZ113" i="1"/>
  <c r="AZ112" i="1"/>
  <c r="AZ111" i="1"/>
  <c r="AZ110" i="1"/>
  <c r="AZ109" i="1"/>
  <c r="AZ108" i="1"/>
  <c r="AZ107" i="1"/>
  <c r="AZ106" i="1"/>
  <c r="AZ105" i="1"/>
  <c r="AZ104" i="1"/>
  <c r="AZ103" i="1"/>
  <c r="AZ102" i="1"/>
  <c r="AZ101" i="1"/>
  <c r="AZ100" i="1"/>
  <c r="AZ99" i="1"/>
  <c r="AZ98" i="1"/>
  <c r="AZ97" i="1"/>
  <c r="AZ96" i="1"/>
  <c r="AZ95" i="1"/>
  <c r="AZ94" i="1"/>
  <c r="AZ93" i="1"/>
  <c r="AZ92" i="1"/>
  <c r="AZ91" i="1"/>
  <c r="AZ90" i="1"/>
  <c r="AZ89" i="1"/>
  <c r="AZ88" i="1"/>
  <c r="AZ87" i="1"/>
  <c r="AZ86" i="1"/>
  <c r="AZ85" i="1"/>
  <c r="AZ84" i="1"/>
  <c r="AZ83" i="1"/>
  <c r="AZ82" i="1"/>
  <c r="AZ81" i="1"/>
  <c r="AZ80" i="1"/>
  <c r="AZ79" i="1"/>
  <c r="AZ78" i="1"/>
  <c r="AZ77" i="1"/>
  <c r="AZ76" i="1"/>
  <c r="AZ75" i="1"/>
  <c r="AZ74" i="1"/>
  <c r="AZ73" i="1"/>
  <c r="AZ72" i="1"/>
  <c r="AZ71" i="1"/>
  <c r="AZ70" i="1"/>
  <c r="AZ69" i="1"/>
  <c r="AZ68" i="1"/>
  <c r="AZ67" i="1"/>
  <c r="AZ66" i="1"/>
  <c r="AZ65" i="1"/>
  <c r="AZ64" i="1"/>
  <c r="AZ63" i="1"/>
  <c r="AZ62" i="1"/>
  <c r="AZ61" i="1"/>
  <c r="AZ60" i="1"/>
  <c r="AZ59" i="1"/>
  <c r="AZ58" i="1"/>
  <c r="AZ57" i="1"/>
  <c r="AZ56" i="1"/>
  <c r="AZ55" i="1"/>
  <c r="AZ54" i="1"/>
  <c r="AZ53" i="1"/>
  <c r="AZ52" i="1"/>
  <c r="AZ51" i="1"/>
  <c r="AZ50" i="1"/>
  <c r="AZ49" i="1"/>
  <c r="AZ48" i="1"/>
  <c r="AZ47" i="1"/>
  <c r="AZ46" i="1"/>
  <c r="AZ45" i="1"/>
  <c r="AZ44" i="1"/>
  <c r="AZ43" i="1"/>
  <c r="AZ42" i="1"/>
  <c r="AZ41" i="1"/>
  <c r="AZ40" i="1"/>
  <c r="AZ39" i="1"/>
  <c r="AZ38" i="1"/>
  <c r="AZ37" i="1"/>
  <c r="AZ36" i="1"/>
  <c r="AZ35" i="1"/>
  <c r="AZ34" i="1"/>
  <c r="AZ33" i="1"/>
  <c r="AZ32" i="1"/>
  <c r="AZ31" i="1"/>
  <c r="AZ30" i="1"/>
  <c r="AZ29" i="1"/>
  <c r="AZ28" i="1"/>
  <c r="AZ27" i="1"/>
  <c r="AZ26" i="1"/>
  <c r="AZ25" i="1"/>
  <c r="AZ24" i="1"/>
  <c r="AZ23" i="1"/>
  <c r="AZ22" i="1"/>
  <c r="I19" i="31" l="1"/>
  <c r="I18" i="31"/>
  <c r="L44" i="31"/>
  <c r="J44" i="31"/>
  <c r="E44" i="31"/>
  <c r="C41" i="31"/>
  <c r="K19" i="31"/>
  <c r="I20" i="31"/>
  <c r="L43" i="31"/>
  <c r="J43" i="31"/>
  <c r="E43" i="31"/>
  <c r="B44" i="31"/>
  <c r="K18" i="31"/>
  <c r="L42" i="31"/>
  <c r="J42" i="31"/>
  <c r="E41" i="31"/>
  <c r="B43" i="31"/>
  <c r="J20" i="31"/>
  <c r="L41" i="31"/>
  <c r="J41" i="31"/>
  <c r="D44" i="31"/>
  <c r="B41" i="31"/>
  <c r="J19" i="31"/>
  <c r="I41" i="31"/>
  <c r="K20" i="31"/>
  <c r="J17" i="31"/>
  <c r="K44" i="31"/>
  <c r="I43" i="31"/>
  <c r="D43" i="31"/>
  <c r="L20" i="31"/>
  <c r="J18" i="31"/>
  <c r="K43" i="31"/>
  <c r="I44" i="31"/>
  <c r="D41" i="31"/>
  <c r="L19" i="31"/>
  <c r="L17" i="31"/>
  <c r="K42" i="31"/>
  <c r="I42" i="31"/>
  <c r="C44" i="31"/>
  <c r="L18" i="31"/>
  <c r="K17" i="31"/>
  <c r="K41" i="31"/>
  <c r="C43" i="31"/>
  <c r="K21" i="31" l="1"/>
  <c r="M18" i="31"/>
  <c r="L21" i="31"/>
  <c r="M17" i="31"/>
  <c r="M19" i="31"/>
  <c r="M20" i="31"/>
  <c r="J21" i="31"/>
  <c r="D45" i="31"/>
  <c r="F44" i="31"/>
  <c r="C45" i="31"/>
  <c r="F43" i="31"/>
  <c r="B45" i="31"/>
  <c r="E45" i="31"/>
  <c r="F41" i="31"/>
  <c r="J45" i="31"/>
  <c r="K45" i="31"/>
  <c r="M44" i="31"/>
  <c r="I45" i="31"/>
  <c r="M42" i="31"/>
  <c r="M41" i="31"/>
  <c r="L45" i="31"/>
  <c r="M43" i="31"/>
  <c r="I17" i="31"/>
  <c r="I21" i="31" l="1"/>
  <c r="M21" i="31"/>
  <c r="F45" i="31"/>
  <c r="M45" i="31"/>
  <c r="I19" i="30" l="1"/>
  <c r="H19" i="30"/>
  <c r="H18" i="30"/>
  <c r="I18" i="30" s="1"/>
  <c r="G19" i="30"/>
  <c r="G18" i="30"/>
  <c r="H16" i="30"/>
  <c r="G16" i="30"/>
  <c r="H20" i="30" l="1"/>
  <c r="I16" i="30"/>
  <c r="G20" i="30"/>
  <c r="I20" i="30" l="1"/>
  <c r="H19" i="29" l="1"/>
  <c r="I19" i="29" s="1"/>
  <c r="G19" i="29"/>
  <c r="H18" i="29"/>
  <c r="I18" i="29" s="1"/>
  <c r="G18" i="29"/>
  <c r="H17" i="29"/>
  <c r="G17" i="29"/>
  <c r="G21" i="29" l="1"/>
  <c r="H21" i="29"/>
  <c r="I17" i="29"/>
  <c r="M15" i="31"/>
  <c r="F37" i="31"/>
  <c r="M38" i="31"/>
  <c r="M14" i="31"/>
  <c r="M39" i="31"/>
  <c r="F36" i="31"/>
  <c r="I21" i="29" l="1"/>
  <c r="AM617" i="1"/>
  <c r="F19" i="31"/>
  <c r="F30" i="31"/>
  <c r="F32" i="31"/>
  <c r="F35" i="31"/>
  <c r="BA632" i="1" l="1"/>
  <c r="BB632" i="1" s="1"/>
  <c r="BA617" i="1"/>
  <c r="BB617" i="1" s="1"/>
  <c r="BA614" i="1"/>
  <c r="BB614" i="1" s="1"/>
  <c r="BA603" i="1"/>
  <c r="BB603" i="1" s="1"/>
  <c r="BA601" i="1"/>
  <c r="BB601" i="1" s="1"/>
  <c r="BA591" i="1"/>
  <c r="BB591" i="1" s="1"/>
  <c r="BA590" i="1"/>
  <c r="BB590" i="1" s="1"/>
  <c r="BA589" i="1"/>
  <c r="BB589" i="1" s="1"/>
  <c r="BA578" i="1"/>
  <c r="BB578" i="1" s="1"/>
  <c r="BA576" i="1"/>
  <c r="BB576" i="1" s="1"/>
  <c r="BA575" i="1"/>
  <c r="BB575" i="1" s="1"/>
  <c r="BA573" i="1"/>
  <c r="BB573" i="1" s="1"/>
  <c r="BA568" i="1"/>
  <c r="BB568" i="1" s="1"/>
  <c r="BA567" i="1"/>
  <c r="BB567" i="1" s="1"/>
  <c r="BA546" i="1"/>
  <c r="BB546" i="1" s="1"/>
  <c r="BA540" i="1"/>
  <c r="BB540" i="1" s="1"/>
  <c r="BA527" i="1"/>
  <c r="BB527" i="1" s="1"/>
  <c r="BA526" i="1"/>
  <c r="BB526" i="1" s="1"/>
  <c r="BA525" i="1"/>
  <c r="BB525" i="1" s="1"/>
  <c r="BA519" i="1"/>
  <c r="BB519" i="1" s="1"/>
  <c r="BA508" i="1"/>
  <c r="BB508" i="1" s="1"/>
  <c r="BA496" i="1"/>
  <c r="BB496" i="1" s="1"/>
  <c r="BA378" i="1"/>
  <c r="BB378" i="1" s="1"/>
  <c r="BA371" i="1"/>
  <c r="BB371" i="1" s="1"/>
  <c r="BA364" i="1"/>
  <c r="BB364" i="1" s="1"/>
  <c r="AP632" i="1"/>
  <c r="AY632" i="1" s="1"/>
  <c r="AP617" i="1"/>
  <c r="AY617" i="1" s="1"/>
  <c r="AP614" i="1"/>
  <c r="AY614" i="1" s="1"/>
  <c r="AP603" i="1"/>
  <c r="AY603" i="1" s="1"/>
  <c r="AP601" i="1"/>
  <c r="AY601" i="1" s="1"/>
  <c r="AP591" i="1"/>
  <c r="AY591" i="1" s="1"/>
  <c r="AP590" i="1"/>
  <c r="AY590" i="1" s="1"/>
  <c r="AP589" i="1"/>
  <c r="AY589" i="1" s="1"/>
  <c r="AP578" i="1"/>
  <c r="AY578" i="1" s="1"/>
  <c r="AP576" i="1"/>
  <c r="AY576" i="1" s="1"/>
  <c r="AP575" i="1"/>
  <c r="AY575" i="1" s="1"/>
  <c r="AP573" i="1"/>
  <c r="AY573" i="1" s="1"/>
  <c r="AP568" i="1"/>
  <c r="AY568" i="1" s="1"/>
  <c r="AP567" i="1"/>
  <c r="AY567" i="1" s="1"/>
  <c r="AP554" i="1"/>
  <c r="AY554" i="1" s="1"/>
  <c r="AP553" i="1"/>
  <c r="AY553" i="1" s="1"/>
  <c r="AP552" i="1"/>
  <c r="AY552" i="1" s="1"/>
  <c r="AP551" i="1"/>
  <c r="AY551" i="1" s="1"/>
  <c r="AP550" i="1"/>
  <c r="AY550" i="1" s="1"/>
  <c r="AP546" i="1"/>
  <c r="AY546" i="1" s="1"/>
  <c r="AP543" i="1"/>
  <c r="AY543" i="1" s="1"/>
  <c r="AP541" i="1"/>
  <c r="AY541" i="1" s="1"/>
  <c r="AP540" i="1"/>
  <c r="AY540" i="1" s="1"/>
  <c r="AP539" i="1"/>
  <c r="AY539" i="1" s="1"/>
  <c r="AP538" i="1"/>
  <c r="AY538" i="1" s="1"/>
  <c r="AP537" i="1"/>
  <c r="AY537" i="1" s="1"/>
  <c r="AP536" i="1"/>
  <c r="AY536" i="1" s="1"/>
  <c r="AP532" i="1"/>
  <c r="AY532" i="1" s="1"/>
  <c r="AP528" i="1"/>
  <c r="AY528" i="1" s="1"/>
  <c r="AP527" i="1"/>
  <c r="AY527" i="1" s="1"/>
  <c r="AP526" i="1"/>
  <c r="AY526" i="1" s="1"/>
  <c r="AP525" i="1"/>
  <c r="AY525" i="1" s="1"/>
  <c r="AP520" i="1"/>
  <c r="AY520" i="1" s="1"/>
  <c r="AP519" i="1"/>
  <c r="AY519" i="1" s="1"/>
  <c r="AP518" i="1"/>
  <c r="AY518" i="1" s="1"/>
  <c r="AP515" i="1"/>
  <c r="AY515" i="1" s="1"/>
  <c r="AP512" i="1"/>
  <c r="AY512" i="1" s="1"/>
  <c r="AP509" i="1"/>
  <c r="AY509" i="1" s="1"/>
  <c r="AP508" i="1"/>
  <c r="AY508" i="1" s="1"/>
  <c r="AP506" i="1"/>
  <c r="AY506" i="1" s="1"/>
  <c r="AP505" i="1"/>
  <c r="AY505" i="1" s="1"/>
  <c r="AP504" i="1"/>
  <c r="AY504" i="1" s="1"/>
  <c r="AP502" i="1"/>
  <c r="AY502" i="1" s="1"/>
  <c r="AP501" i="1"/>
  <c r="AY501" i="1" s="1"/>
  <c r="AP496" i="1"/>
  <c r="AY496" i="1" s="1"/>
  <c r="AP495" i="1"/>
  <c r="AY495" i="1" s="1"/>
  <c r="AP492" i="1"/>
  <c r="AY492" i="1" s="1"/>
  <c r="AP490" i="1"/>
  <c r="AY490" i="1" s="1"/>
  <c r="AP489" i="1"/>
  <c r="AY489" i="1" s="1"/>
  <c r="AP488" i="1"/>
  <c r="AY488" i="1" s="1"/>
  <c r="AP487" i="1"/>
  <c r="AY487" i="1" s="1"/>
  <c r="AP486" i="1"/>
  <c r="AY486" i="1" s="1"/>
  <c r="AP484" i="1"/>
  <c r="AY484" i="1" s="1"/>
  <c r="AP483" i="1"/>
  <c r="AY483" i="1" s="1"/>
  <c r="AP482" i="1"/>
  <c r="AY482" i="1" s="1"/>
  <c r="AP480" i="1"/>
  <c r="AY480" i="1" s="1"/>
  <c r="AP479" i="1"/>
  <c r="AY479" i="1" s="1"/>
  <c r="AP478" i="1"/>
  <c r="AY478" i="1" s="1"/>
  <c r="AP476" i="1"/>
  <c r="AY476" i="1" s="1"/>
  <c r="AP475" i="1"/>
  <c r="AY475" i="1" s="1"/>
  <c r="AP473" i="1"/>
  <c r="AY473" i="1" s="1"/>
  <c r="AP472" i="1"/>
  <c r="AY472" i="1" s="1"/>
  <c r="AP470" i="1"/>
  <c r="AY470" i="1" s="1"/>
  <c r="AP469" i="1"/>
  <c r="AY469" i="1" s="1"/>
  <c r="AP467" i="1"/>
  <c r="AY467" i="1" s="1"/>
  <c r="AP464" i="1"/>
  <c r="AY464" i="1" s="1"/>
  <c r="AP463" i="1"/>
  <c r="AY463" i="1" s="1"/>
  <c r="AP462" i="1"/>
  <c r="AY462" i="1" s="1"/>
  <c r="AP461" i="1"/>
  <c r="AY461" i="1" s="1"/>
  <c r="AP460" i="1"/>
  <c r="AY460" i="1" s="1"/>
  <c r="AP459" i="1"/>
  <c r="AY459" i="1" s="1"/>
  <c r="AP458" i="1"/>
  <c r="AY458" i="1" s="1"/>
  <c r="AP454" i="1"/>
  <c r="AY454" i="1" s="1"/>
  <c r="AP451" i="1"/>
  <c r="AY451" i="1" s="1"/>
  <c r="AP450" i="1"/>
  <c r="AY450" i="1" s="1"/>
  <c r="AP449" i="1"/>
  <c r="AY449" i="1" s="1"/>
  <c r="AP448" i="1"/>
  <c r="AY448" i="1" s="1"/>
  <c r="AP446" i="1"/>
  <c r="AY446" i="1" s="1"/>
  <c r="AP445" i="1"/>
  <c r="AY445" i="1" s="1"/>
  <c r="AP443" i="1"/>
  <c r="AY443" i="1" s="1"/>
  <c r="AP442" i="1"/>
  <c r="AY442" i="1" s="1"/>
  <c r="AP440" i="1"/>
  <c r="AY440" i="1" s="1"/>
  <c r="AP439" i="1"/>
  <c r="AY439" i="1" s="1"/>
  <c r="AP435" i="1"/>
  <c r="AY435" i="1" s="1"/>
  <c r="AP434" i="1"/>
  <c r="AY434" i="1" s="1"/>
  <c r="AP433" i="1"/>
  <c r="AY433" i="1" s="1"/>
  <c r="AP431" i="1"/>
  <c r="AY431" i="1" s="1"/>
  <c r="AP430" i="1"/>
  <c r="AY430" i="1" s="1"/>
  <c r="AP429" i="1"/>
  <c r="AY429" i="1" s="1"/>
  <c r="AP428" i="1"/>
  <c r="AY428" i="1" s="1"/>
  <c r="AP427" i="1"/>
  <c r="AY427" i="1" s="1"/>
  <c r="AP424" i="1"/>
  <c r="AY424" i="1" s="1"/>
  <c r="AP423" i="1"/>
  <c r="AY423" i="1" s="1"/>
  <c r="AP412" i="1"/>
  <c r="AY412" i="1" s="1"/>
  <c r="AP411" i="1"/>
  <c r="AY411" i="1" s="1"/>
  <c r="AP410" i="1"/>
  <c r="AY410" i="1" s="1"/>
  <c r="AP408" i="1"/>
  <c r="AY408" i="1" s="1"/>
  <c r="AP407" i="1"/>
  <c r="AY407" i="1" s="1"/>
  <c r="AP406" i="1"/>
  <c r="AY406" i="1" s="1"/>
  <c r="AP404" i="1"/>
  <c r="AY404" i="1" s="1"/>
  <c r="AP403" i="1"/>
  <c r="AY403" i="1" s="1"/>
  <c r="AP402" i="1"/>
  <c r="AY402" i="1" s="1"/>
  <c r="AP401" i="1"/>
  <c r="AY401" i="1" s="1"/>
  <c r="AP400" i="1"/>
  <c r="AY400" i="1" s="1"/>
  <c r="AP397" i="1"/>
  <c r="AY397" i="1" s="1"/>
  <c r="AP396" i="1"/>
  <c r="AY396" i="1" s="1"/>
  <c r="AP394" i="1"/>
  <c r="AY394" i="1" s="1"/>
  <c r="AP393" i="1"/>
  <c r="AY393" i="1" s="1"/>
  <c r="AP392" i="1"/>
  <c r="AY392" i="1" s="1"/>
  <c r="AP391" i="1"/>
  <c r="AY391" i="1" s="1"/>
  <c r="AP390" i="1"/>
  <c r="AY390" i="1" s="1"/>
  <c r="AP389" i="1"/>
  <c r="AY389" i="1" s="1"/>
  <c r="AP388" i="1"/>
  <c r="AY388" i="1" s="1"/>
  <c r="AP387" i="1"/>
  <c r="AY387" i="1" s="1"/>
  <c r="AP386" i="1"/>
  <c r="AY386" i="1" s="1"/>
  <c r="AP385" i="1"/>
  <c r="AY385" i="1" s="1"/>
  <c r="AP384" i="1"/>
  <c r="AY384" i="1" s="1"/>
  <c r="AP383" i="1"/>
  <c r="AY383" i="1" s="1"/>
  <c r="AP380" i="1"/>
  <c r="AY380" i="1" s="1"/>
  <c r="AP379" i="1"/>
  <c r="AY379" i="1" s="1"/>
  <c r="AP378" i="1"/>
  <c r="AY378" i="1" s="1"/>
  <c r="AP376" i="1"/>
  <c r="AY376" i="1" s="1"/>
  <c r="AP375" i="1"/>
  <c r="AY375" i="1" s="1"/>
  <c r="AP374" i="1"/>
  <c r="AY374" i="1" s="1"/>
  <c r="AP373" i="1"/>
  <c r="AY373" i="1" s="1"/>
  <c r="AP372" i="1"/>
  <c r="AY372" i="1" s="1"/>
  <c r="AP371" i="1"/>
  <c r="AY371" i="1" s="1"/>
  <c r="AP370" i="1"/>
  <c r="AY370" i="1" s="1"/>
  <c r="AP368" i="1"/>
  <c r="AY368" i="1" s="1"/>
  <c r="AP367" i="1"/>
  <c r="AY367" i="1" s="1"/>
  <c r="AP366" i="1"/>
  <c r="AY366" i="1" s="1"/>
  <c r="AP364" i="1"/>
  <c r="AY364" i="1" s="1"/>
  <c r="AP363" i="1"/>
  <c r="AY363" i="1" s="1"/>
  <c r="AP362" i="1"/>
  <c r="AY362" i="1" s="1"/>
  <c r="AP360" i="1"/>
  <c r="AY360" i="1" s="1"/>
  <c r="AP357" i="1"/>
  <c r="AY357" i="1" s="1"/>
  <c r="AP355" i="1"/>
  <c r="AY355" i="1" s="1"/>
  <c r="AP354" i="1"/>
  <c r="AY354" i="1" s="1"/>
  <c r="AP353" i="1"/>
  <c r="AY353" i="1" s="1"/>
  <c r="AP352" i="1"/>
  <c r="AY352" i="1" s="1"/>
  <c r="AP351" i="1"/>
  <c r="AY351" i="1" s="1"/>
  <c r="AP350" i="1"/>
  <c r="AY350" i="1" s="1"/>
  <c r="AP349" i="1"/>
  <c r="AY349" i="1" s="1"/>
  <c r="AP346" i="1"/>
  <c r="AY346" i="1" s="1"/>
  <c r="AP345" i="1"/>
  <c r="AY345" i="1" s="1"/>
  <c r="AP344" i="1"/>
  <c r="AY344" i="1" s="1"/>
  <c r="AP343" i="1"/>
  <c r="AY343" i="1" s="1"/>
  <c r="AP342" i="1"/>
  <c r="AY342" i="1" s="1"/>
  <c r="AP341" i="1"/>
  <c r="AY341" i="1" s="1"/>
  <c r="AP340" i="1"/>
  <c r="AY340" i="1" s="1"/>
  <c r="AP339" i="1"/>
  <c r="AY339" i="1" s="1"/>
  <c r="AP338" i="1"/>
  <c r="AY338" i="1" s="1"/>
  <c r="AP337" i="1"/>
  <c r="AY337" i="1" s="1"/>
  <c r="AP336" i="1"/>
  <c r="AY336" i="1" s="1"/>
  <c r="AP335" i="1"/>
  <c r="AY335" i="1" s="1"/>
  <c r="AP334" i="1"/>
  <c r="AY334" i="1" s="1"/>
  <c r="AP333" i="1"/>
  <c r="AY333" i="1" s="1"/>
  <c r="AP332" i="1"/>
  <c r="AY332" i="1" s="1"/>
  <c r="AP331" i="1"/>
  <c r="AY331" i="1" s="1"/>
  <c r="AP330" i="1"/>
  <c r="AY330" i="1" s="1"/>
  <c r="AP329" i="1"/>
  <c r="AY329" i="1" s="1"/>
  <c r="AP328" i="1"/>
  <c r="AY328" i="1" s="1"/>
  <c r="AP327" i="1"/>
  <c r="AY327" i="1" s="1"/>
  <c r="AP325" i="1"/>
  <c r="AY325" i="1" s="1"/>
  <c r="AP324" i="1"/>
  <c r="AY324" i="1" s="1"/>
  <c r="AP323" i="1"/>
  <c r="AY323" i="1" s="1"/>
  <c r="AP322" i="1"/>
  <c r="AY322" i="1" s="1"/>
  <c r="AP320" i="1"/>
  <c r="AY320" i="1" s="1"/>
  <c r="AP318" i="1"/>
  <c r="AY318" i="1" s="1"/>
  <c r="AP316" i="1"/>
  <c r="AY316" i="1" s="1"/>
  <c r="AP315" i="1"/>
  <c r="AY315" i="1" s="1"/>
  <c r="AP313" i="1"/>
  <c r="AY313" i="1" s="1"/>
  <c r="AP312" i="1"/>
  <c r="AY312" i="1" s="1"/>
  <c r="AP309" i="1"/>
  <c r="AY309" i="1" s="1"/>
  <c r="AP308" i="1"/>
  <c r="AY308" i="1" s="1"/>
  <c r="AP307" i="1"/>
  <c r="AY307" i="1" s="1"/>
  <c r="AP306" i="1"/>
  <c r="AY306" i="1" s="1"/>
  <c r="AP305" i="1"/>
  <c r="AY305" i="1" s="1"/>
  <c r="AP303" i="1"/>
  <c r="AY303" i="1" s="1"/>
  <c r="AP301" i="1"/>
  <c r="AY301" i="1" s="1"/>
  <c r="AP299" i="1"/>
  <c r="AY299" i="1" s="1"/>
  <c r="AP298" i="1"/>
  <c r="AY298" i="1" s="1"/>
  <c r="AP297" i="1"/>
  <c r="AY297" i="1" s="1"/>
  <c r="AP296" i="1"/>
  <c r="AY296" i="1" s="1"/>
  <c r="AP295" i="1"/>
  <c r="AY295" i="1" s="1"/>
  <c r="AP294" i="1"/>
  <c r="AY294" i="1" s="1"/>
  <c r="AP291" i="1"/>
  <c r="AY291" i="1" s="1"/>
  <c r="AP290" i="1"/>
  <c r="AY290" i="1" s="1"/>
  <c r="AP288" i="1"/>
  <c r="AY288" i="1" s="1"/>
  <c r="AP284" i="1"/>
  <c r="AY284" i="1" s="1"/>
  <c r="AP282" i="1"/>
  <c r="AY282" i="1" s="1"/>
  <c r="AP280" i="1"/>
  <c r="AY280" i="1" s="1"/>
  <c r="AP278" i="1"/>
  <c r="AY278" i="1" s="1"/>
  <c r="AP277" i="1"/>
  <c r="AY277" i="1" s="1"/>
  <c r="AP273" i="1"/>
  <c r="AY273" i="1" s="1"/>
  <c r="AP272" i="1"/>
  <c r="AY272" i="1" s="1"/>
  <c r="AP271" i="1"/>
  <c r="AY271" i="1" s="1"/>
  <c r="AP266" i="1"/>
  <c r="AY266" i="1" s="1"/>
  <c r="AP255" i="1"/>
  <c r="AY255" i="1" s="1"/>
  <c r="AP253" i="1"/>
  <c r="AY253" i="1" s="1"/>
  <c r="AP252" i="1"/>
  <c r="AY252" i="1" s="1"/>
  <c r="AP248" i="1"/>
  <c r="AY248" i="1" s="1"/>
  <c r="AP241" i="1"/>
  <c r="AY241" i="1" s="1"/>
  <c r="AP238" i="1"/>
  <c r="AY238" i="1" s="1"/>
  <c r="AP237" i="1"/>
  <c r="AY237" i="1" s="1"/>
  <c r="AP236" i="1"/>
  <c r="AY236" i="1" s="1"/>
  <c r="AP235" i="1"/>
  <c r="AY235" i="1" s="1"/>
  <c r="AP231" i="1"/>
  <c r="AY231" i="1" s="1"/>
  <c r="AP230" i="1"/>
  <c r="AY230" i="1" s="1"/>
  <c r="AP228" i="1"/>
  <c r="AY228" i="1" s="1"/>
  <c r="AP227" i="1"/>
  <c r="AY227" i="1" s="1"/>
  <c r="AP226" i="1"/>
  <c r="AY226" i="1" s="1"/>
  <c r="AP222" i="1"/>
  <c r="AY222" i="1" s="1"/>
  <c r="AP220" i="1"/>
  <c r="AY220" i="1" s="1"/>
  <c r="AP219" i="1"/>
  <c r="AY219" i="1" s="1"/>
  <c r="AP214" i="1"/>
  <c r="AY214" i="1" s="1"/>
  <c r="AP213" i="1"/>
  <c r="AY213" i="1" s="1"/>
  <c r="AP212" i="1"/>
  <c r="AY212" i="1" s="1"/>
  <c r="AP210" i="1"/>
  <c r="AY210" i="1" s="1"/>
  <c r="AP209" i="1"/>
  <c r="AY209" i="1" s="1"/>
  <c r="AP204" i="1"/>
  <c r="AY204" i="1" s="1"/>
  <c r="AP203" i="1"/>
  <c r="AY203" i="1" s="1"/>
  <c r="AP201" i="1"/>
  <c r="AY201" i="1" s="1"/>
  <c r="AP200" i="1"/>
  <c r="AY200" i="1" s="1"/>
  <c r="AP199" i="1"/>
  <c r="AY199" i="1" s="1"/>
  <c r="AP197" i="1"/>
  <c r="AY197" i="1" s="1"/>
  <c r="AP196" i="1"/>
  <c r="AY196" i="1" s="1"/>
  <c r="AP195" i="1"/>
  <c r="AY195" i="1" s="1"/>
  <c r="AP193" i="1"/>
  <c r="AY193" i="1" s="1"/>
  <c r="AP192" i="1"/>
  <c r="AY192" i="1" s="1"/>
  <c r="AP190" i="1"/>
  <c r="AY190" i="1" s="1"/>
  <c r="AP189" i="1"/>
  <c r="AY189" i="1" s="1"/>
  <c r="AP187" i="1"/>
  <c r="AY187" i="1" s="1"/>
  <c r="AP186" i="1"/>
  <c r="AY186" i="1" s="1"/>
  <c r="AP185" i="1"/>
  <c r="AY185" i="1" s="1"/>
  <c r="AP184" i="1"/>
  <c r="AY184" i="1" s="1"/>
  <c r="AP183" i="1"/>
  <c r="AY183" i="1" s="1"/>
  <c r="AP181" i="1"/>
  <c r="AY181" i="1" s="1"/>
  <c r="AP178" i="1"/>
  <c r="AY178" i="1" s="1"/>
  <c r="AP177" i="1"/>
  <c r="AY177" i="1" s="1"/>
  <c r="AP176" i="1"/>
  <c r="AY176" i="1" s="1"/>
  <c r="AP175" i="1"/>
  <c r="AY175" i="1" s="1"/>
  <c r="AP171" i="1"/>
  <c r="AY171" i="1" s="1"/>
  <c r="AP170" i="1"/>
  <c r="AY170" i="1" s="1"/>
  <c r="AP169" i="1"/>
  <c r="AY169" i="1" s="1"/>
  <c r="AP167" i="1"/>
  <c r="AY167" i="1" s="1"/>
  <c r="AP164" i="1"/>
  <c r="AY164" i="1" s="1"/>
  <c r="AP163" i="1"/>
  <c r="AY163" i="1" s="1"/>
  <c r="AP160" i="1"/>
  <c r="AY160" i="1" s="1"/>
  <c r="AP156" i="1"/>
  <c r="AY156" i="1" s="1"/>
  <c r="AP154" i="1"/>
  <c r="AY154" i="1" s="1"/>
  <c r="AP151" i="1"/>
  <c r="AY151" i="1" s="1"/>
  <c r="AP149" i="1"/>
  <c r="AY149" i="1" s="1"/>
  <c r="AP147" i="1"/>
  <c r="AY147" i="1" s="1"/>
  <c r="AP146" i="1"/>
  <c r="AY146" i="1" s="1"/>
  <c r="AP145" i="1"/>
  <c r="AY145" i="1" s="1"/>
  <c r="AP144" i="1"/>
  <c r="AY144" i="1" s="1"/>
  <c r="AP143" i="1"/>
  <c r="AY143" i="1" s="1"/>
  <c r="AP142" i="1"/>
  <c r="AY142" i="1" s="1"/>
  <c r="AP138" i="1"/>
  <c r="AY138" i="1" s="1"/>
  <c r="AP132" i="1"/>
  <c r="AY132" i="1" s="1"/>
  <c r="AP131" i="1"/>
  <c r="AY131" i="1" s="1"/>
  <c r="AP127" i="1"/>
  <c r="AY127" i="1" s="1"/>
  <c r="AP126" i="1"/>
  <c r="AY126" i="1" s="1"/>
  <c r="AP125" i="1"/>
  <c r="AY125" i="1" s="1"/>
  <c r="AP123" i="1"/>
  <c r="AY123" i="1" s="1"/>
  <c r="AP122" i="1"/>
  <c r="AY122" i="1" s="1"/>
  <c r="AP121" i="1"/>
  <c r="AY121" i="1" s="1"/>
  <c r="AP120" i="1"/>
  <c r="AY120" i="1" s="1"/>
  <c r="AP119" i="1"/>
  <c r="AY119" i="1" s="1"/>
  <c r="AP118" i="1"/>
  <c r="AY118" i="1" s="1"/>
  <c r="AP117" i="1"/>
  <c r="AY117" i="1" s="1"/>
  <c r="AP116" i="1"/>
  <c r="AY116" i="1" s="1"/>
  <c r="AP115" i="1"/>
  <c r="AY115" i="1" s="1"/>
  <c r="AP114" i="1"/>
  <c r="AY114" i="1" s="1"/>
  <c r="AP113" i="1"/>
  <c r="AY113" i="1" s="1"/>
  <c r="AP112" i="1"/>
  <c r="AY112" i="1" s="1"/>
  <c r="AP110" i="1"/>
  <c r="AY110" i="1" s="1"/>
  <c r="AP108" i="1"/>
  <c r="AY108" i="1" s="1"/>
  <c r="AP107" i="1"/>
  <c r="AY107" i="1" s="1"/>
  <c r="AP106" i="1"/>
  <c r="AY106" i="1" s="1"/>
  <c r="AP105" i="1"/>
  <c r="AY105" i="1" s="1"/>
  <c r="AP104" i="1"/>
  <c r="AY104" i="1" s="1"/>
  <c r="AP102" i="1"/>
  <c r="AY102" i="1" s="1"/>
  <c r="AP100" i="1"/>
  <c r="AY100" i="1" s="1"/>
  <c r="AP99" i="1"/>
  <c r="AY99" i="1" s="1"/>
  <c r="AP98" i="1"/>
  <c r="AY98" i="1" s="1"/>
  <c r="AP97" i="1"/>
  <c r="AY97" i="1" s="1"/>
  <c r="AP96" i="1"/>
  <c r="AY96" i="1" s="1"/>
  <c r="AP95" i="1"/>
  <c r="AY95" i="1" s="1"/>
  <c r="AP94" i="1"/>
  <c r="AY94" i="1" s="1"/>
  <c r="AP93" i="1"/>
  <c r="AY93" i="1" s="1"/>
  <c r="AP92" i="1"/>
  <c r="AY92" i="1" s="1"/>
  <c r="AP91" i="1"/>
  <c r="AY91" i="1" s="1"/>
  <c r="AP90" i="1"/>
  <c r="AY90" i="1" s="1"/>
  <c r="AP89" i="1"/>
  <c r="AY89" i="1" s="1"/>
  <c r="AP88" i="1"/>
  <c r="AY88" i="1" s="1"/>
  <c r="AP87" i="1"/>
  <c r="AY87" i="1" s="1"/>
  <c r="AP86" i="1"/>
  <c r="AY86" i="1" s="1"/>
  <c r="AP85" i="1"/>
  <c r="AY85" i="1" s="1"/>
  <c r="AP84" i="1"/>
  <c r="AY84" i="1" s="1"/>
  <c r="AP83" i="1"/>
  <c r="AY83" i="1" s="1"/>
  <c r="AP82" i="1"/>
  <c r="AY82" i="1" s="1"/>
  <c r="AP81" i="1"/>
  <c r="AY81" i="1" s="1"/>
  <c r="AP80" i="1"/>
  <c r="AY80" i="1" s="1"/>
  <c r="AP79" i="1"/>
  <c r="AY79" i="1" s="1"/>
  <c r="AP78" i="1"/>
  <c r="AY78" i="1" s="1"/>
  <c r="AP77" i="1"/>
  <c r="AY77" i="1" s="1"/>
  <c r="AP76" i="1"/>
  <c r="AY76" i="1" s="1"/>
  <c r="AP75" i="1"/>
  <c r="AY75" i="1" s="1"/>
  <c r="AP74" i="1"/>
  <c r="AY74" i="1" s="1"/>
  <c r="AP73" i="1"/>
  <c r="AY73" i="1" s="1"/>
  <c r="AP72" i="1"/>
  <c r="AY72" i="1" s="1"/>
  <c r="AP71" i="1"/>
  <c r="AY71" i="1" s="1"/>
  <c r="AP68" i="1"/>
  <c r="AY68" i="1" s="1"/>
  <c r="AP67" i="1"/>
  <c r="AY67" i="1" s="1"/>
  <c r="AP66" i="1"/>
  <c r="AY66" i="1" s="1"/>
  <c r="AP65" i="1"/>
  <c r="AY65" i="1" s="1"/>
  <c r="AP64" i="1"/>
  <c r="AY64" i="1" s="1"/>
  <c r="AP63" i="1"/>
  <c r="AY63" i="1" s="1"/>
  <c r="AP61" i="1"/>
  <c r="AY61" i="1" s="1"/>
  <c r="AP60" i="1"/>
  <c r="AY60" i="1" s="1"/>
  <c r="AP59" i="1"/>
  <c r="AY59" i="1" s="1"/>
  <c r="AP58" i="1"/>
  <c r="AY58" i="1" s="1"/>
  <c r="AP57" i="1"/>
  <c r="AY57" i="1" s="1"/>
  <c r="AP56" i="1"/>
  <c r="AY56" i="1" s="1"/>
  <c r="AP55" i="1"/>
  <c r="AY55" i="1" s="1"/>
  <c r="AP54" i="1"/>
  <c r="AY54" i="1" s="1"/>
  <c r="AP53" i="1"/>
  <c r="AY53" i="1" s="1"/>
  <c r="AP52" i="1"/>
  <c r="AY52" i="1" s="1"/>
  <c r="AP51" i="1"/>
  <c r="AY51" i="1" s="1"/>
  <c r="AP50" i="1"/>
  <c r="AY50" i="1" s="1"/>
  <c r="AP49" i="1"/>
  <c r="AY49" i="1" s="1"/>
  <c r="AP48" i="1"/>
  <c r="AY48" i="1" s="1"/>
  <c r="AP47" i="1"/>
  <c r="AY47" i="1" s="1"/>
  <c r="AP46" i="1"/>
  <c r="AY46" i="1" s="1"/>
  <c r="AP44" i="1"/>
  <c r="AY44" i="1" s="1"/>
  <c r="AP43" i="1"/>
  <c r="AY43" i="1" s="1"/>
  <c r="AP42" i="1"/>
  <c r="AY42" i="1" s="1"/>
  <c r="AP41" i="1"/>
  <c r="AY41" i="1" s="1"/>
  <c r="AP33" i="1"/>
  <c r="AY33" i="1" s="1"/>
  <c r="AP32" i="1"/>
  <c r="AY32" i="1" s="1"/>
  <c r="AP30" i="1"/>
  <c r="AY30" i="1" s="1"/>
  <c r="AP29" i="1"/>
  <c r="AY29" i="1" s="1"/>
  <c r="AP28" i="1"/>
  <c r="AY28" i="1" s="1"/>
  <c r="AP27" i="1"/>
  <c r="AY27" i="1" s="1"/>
  <c r="AP25" i="1"/>
  <c r="AY25" i="1" s="1"/>
  <c r="AP24" i="1"/>
  <c r="AY24" i="1" s="1"/>
  <c r="AP23" i="1"/>
  <c r="AY23" i="1" s="1"/>
  <c r="AP21" i="1"/>
  <c r="AP10" i="1"/>
  <c r="AP8" i="1"/>
  <c r="AH415" i="1" l="1"/>
  <c r="AG415" i="1"/>
  <c r="AF415" i="1"/>
  <c r="X415" i="1"/>
  <c r="W415" i="1"/>
  <c r="N415" i="1"/>
  <c r="T415" i="1" s="1"/>
  <c r="AH631" i="1"/>
  <c r="AG631" i="1"/>
  <c r="AF631" i="1"/>
  <c r="X631" i="1"/>
  <c r="W631" i="1"/>
  <c r="AH630" i="1"/>
  <c r="AG630" i="1"/>
  <c r="AF630" i="1"/>
  <c r="X630" i="1"/>
  <c r="W630" i="1"/>
  <c r="N630" i="1"/>
  <c r="AH629" i="1"/>
  <c r="AG629" i="1"/>
  <c r="AF629" i="1"/>
  <c r="X629" i="1"/>
  <c r="W629" i="1"/>
  <c r="N629" i="1"/>
  <c r="AH628" i="1"/>
  <c r="AG628" i="1"/>
  <c r="AF628" i="1"/>
  <c r="X628" i="1"/>
  <c r="W628" i="1"/>
  <c r="N628" i="1"/>
  <c r="AH625" i="1"/>
  <c r="AG625" i="1"/>
  <c r="AF625" i="1"/>
  <c r="X625" i="1"/>
  <c r="W625" i="1"/>
  <c r="N625" i="1"/>
  <c r="T625" i="1" s="1"/>
  <c r="AP624" i="1"/>
  <c r="AH624" i="1"/>
  <c r="AG624" i="1"/>
  <c r="AF624" i="1"/>
  <c r="X624" i="1"/>
  <c r="W624" i="1"/>
  <c r="N624" i="1"/>
  <c r="AP623" i="1"/>
  <c r="AH623" i="1"/>
  <c r="AG623" i="1"/>
  <c r="AF623" i="1"/>
  <c r="X623" i="1"/>
  <c r="W623" i="1"/>
  <c r="N623" i="1"/>
  <c r="T623" i="1" s="1"/>
  <c r="AH622" i="1"/>
  <c r="AG622" i="1"/>
  <c r="AF622" i="1"/>
  <c r="X622" i="1"/>
  <c r="W622" i="1"/>
  <c r="N622" i="1"/>
  <c r="T622" i="1" s="1"/>
  <c r="AP621" i="1"/>
  <c r="AH621" i="1"/>
  <c r="AG621" i="1"/>
  <c r="AF621" i="1"/>
  <c r="X621" i="1"/>
  <c r="W621" i="1"/>
  <c r="N621" i="1"/>
  <c r="AH619" i="1"/>
  <c r="AG619" i="1"/>
  <c r="AF619" i="1"/>
  <c r="X619" i="1"/>
  <c r="W619" i="1"/>
  <c r="N619" i="1"/>
  <c r="T619" i="1" s="1"/>
  <c r="AH615" i="1"/>
  <c r="AG615" i="1"/>
  <c r="AF615" i="1"/>
  <c r="X615" i="1"/>
  <c r="W615" i="1"/>
  <c r="N615" i="1"/>
  <c r="AH613" i="1"/>
  <c r="AG613" i="1"/>
  <c r="AF613" i="1"/>
  <c r="X613" i="1"/>
  <c r="W613" i="1"/>
  <c r="N613" i="1"/>
  <c r="AH612" i="1"/>
  <c r="AG612" i="1"/>
  <c r="AF612" i="1"/>
  <c r="X612" i="1"/>
  <c r="W612" i="1"/>
  <c r="N612" i="1"/>
  <c r="AH611" i="1"/>
  <c r="AG611" i="1"/>
  <c r="AF611" i="1"/>
  <c r="X611" i="1"/>
  <c r="W611" i="1"/>
  <c r="N611" i="1"/>
  <c r="AH606" i="1"/>
  <c r="AG606" i="1"/>
  <c r="AF606" i="1"/>
  <c r="X606" i="1"/>
  <c r="W606" i="1"/>
  <c r="N606" i="1"/>
  <c r="AH605" i="1"/>
  <c r="AG605" i="1"/>
  <c r="AF605" i="1"/>
  <c r="X605" i="1"/>
  <c r="W605" i="1"/>
  <c r="N605" i="1"/>
  <c r="T605" i="1" s="1"/>
  <c r="AH602" i="1"/>
  <c r="AG602" i="1"/>
  <c r="AF602" i="1"/>
  <c r="X602" i="1"/>
  <c r="W602" i="1"/>
  <c r="N602" i="1"/>
  <c r="T602" i="1" s="1"/>
  <c r="AH600" i="1"/>
  <c r="AG600" i="1"/>
  <c r="AF600" i="1"/>
  <c r="X600" i="1"/>
  <c r="W600" i="1"/>
  <c r="N600" i="1"/>
  <c r="T600" i="1" s="1"/>
  <c r="AH599" i="1"/>
  <c r="AG599" i="1"/>
  <c r="AF599" i="1"/>
  <c r="X599" i="1"/>
  <c r="W599" i="1"/>
  <c r="N599" i="1"/>
  <c r="AH597" i="1"/>
  <c r="AG597" i="1"/>
  <c r="AF597" i="1"/>
  <c r="X597" i="1"/>
  <c r="W597" i="1"/>
  <c r="N597" i="1"/>
  <c r="T597" i="1" s="1"/>
  <c r="AH596" i="1"/>
  <c r="AG596" i="1"/>
  <c r="AF596" i="1"/>
  <c r="X596" i="1"/>
  <c r="W596" i="1"/>
  <c r="N596" i="1"/>
  <c r="T596" i="1" s="1"/>
  <c r="AH595" i="1"/>
  <c r="AG595" i="1"/>
  <c r="AF595" i="1"/>
  <c r="X595" i="1"/>
  <c r="W595" i="1"/>
  <c r="N595" i="1"/>
  <c r="T595" i="1" s="1"/>
  <c r="AH594" i="1"/>
  <c r="AG594" i="1"/>
  <c r="AF594" i="1"/>
  <c r="X594" i="1"/>
  <c r="W594" i="1"/>
  <c r="N594" i="1"/>
  <c r="T594" i="1" s="1"/>
  <c r="AH593" i="1"/>
  <c r="AG593" i="1"/>
  <c r="AF593" i="1"/>
  <c r="X593" i="1"/>
  <c r="W593" i="1"/>
  <c r="N593" i="1"/>
  <c r="T593" i="1" s="1"/>
  <c r="AH592" i="1"/>
  <c r="AG592" i="1"/>
  <c r="AF592" i="1"/>
  <c r="X592" i="1"/>
  <c r="W592" i="1"/>
  <c r="N592" i="1"/>
  <c r="T592" i="1" s="1"/>
  <c r="AH583" i="1"/>
  <c r="AG583" i="1"/>
  <c r="AF583" i="1"/>
  <c r="X583" i="1"/>
  <c r="W583" i="1"/>
  <c r="N583" i="1"/>
  <c r="AH582" i="1"/>
  <c r="AG582" i="1"/>
  <c r="AF582" i="1"/>
  <c r="X582" i="1"/>
  <c r="W582" i="1"/>
  <c r="N582" i="1"/>
  <c r="T582" i="1" s="1"/>
  <c r="AH581" i="1"/>
  <c r="AG581" i="1"/>
  <c r="AF581" i="1"/>
  <c r="X581" i="1"/>
  <c r="W581" i="1"/>
  <c r="N581" i="1"/>
  <c r="T581" i="1" s="1"/>
  <c r="AH572" i="1"/>
  <c r="AG572" i="1"/>
  <c r="AF572" i="1"/>
  <c r="X572" i="1"/>
  <c r="W572" i="1"/>
  <c r="N572" i="1"/>
  <c r="AH570" i="1"/>
  <c r="AG570" i="1"/>
  <c r="AF570" i="1"/>
  <c r="X570" i="1"/>
  <c r="W570" i="1"/>
  <c r="N570" i="1"/>
  <c r="T570" i="1" s="1"/>
  <c r="AH569" i="1"/>
  <c r="AG569" i="1"/>
  <c r="AF569" i="1"/>
  <c r="X569" i="1"/>
  <c r="W569" i="1"/>
  <c r="N569" i="1"/>
  <c r="T569" i="1" s="1"/>
  <c r="AH566" i="1"/>
  <c r="AG566" i="1"/>
  <c r="AF566" i="1"/>
  <c r="X566" i="1"/>
  <c r="W566" i="1"/>
  <c r="N566" i="1"/>
  <c r="T566" i="1" s="1"/>
  <c r="AH565" i="1"/>
  <c r="AG565" i="1"/>
  <c r="AF565" i="1"/>
  <c r="X565" i="1"/>
  <c r="W565" i="1"/>
  <c r="N565" i="1"/>
  <c r="AH564" i="1"/>
  <c r="AG564" i="1"/>
  <c r="AF564" i="1"/>
  <c r="X564" i="1"/>
  <c r="W564" i="1"/>
  <c r="N564" i="1"/>
  <c r="T564" i="1" s="1"/>
  <c r="AH563" i="1"/>
  <c r="AG563" i="1"/>
  <c r="AF563" i="1"/>
  <c r="X563" i="1"/>
  <c r="W563" i="1"/>
  <c r="N563" i="1"/>
  <c r="T563" i="1" s="1"/>
  <c r="AH562" i="1"/>
  <c r="AG562" i="1"/>
  <c r="AF562" i="1"/>
  <c r="X562" i="1"/>
  <c r="W562" i="1"/>
  <c r="N562" i="1"/>
  <c r="T562" i="1" s="1"/>
  <c r="AH561" i="1"/>
  <c r="AG561" i="1"/>
  <c r="AF561" i="1"/>
  <c r="X561" i="1"/>
  <c r="W561" i="1"/>
  <c r="N561" i="1"/>
  <c r="T561" i="1" s="1"/>
  <c r="AH560" i="1"/>
  <c r="AG560" i="1"/>
  <c r="AF560" i="1"/>
  <c r="X560" i="1"/>
  <c r="W560" i="1"/>
  <c r="N560" i="1"/>
  <c r="AH558" i="1"/>
  <c r="AG558" i="1"/>
  <c r="AF558" i="1"/>
  <c r="X558" i="1"/>
  <c r="W558" i="1"/>
  <c r="N558" i="1"/>
  <c r="T558" i="1" s="1"/>
  <c r="AH557" i="1"/>
  <c r="AG557" i="1"/>
  <c r="AF557" i="1"/>
  <c r="X557" i="1"/>
  <c r="W557" i="1"/>
  <c r="N557" i="1"/>
  <c r="T557" i="1" s="1"/>
  <c r="AH556" i="1"/>
  <c r="AG556" i="1"/>
  <c r="AF556" i="1"/>
  <c r="X556" i="1"/>
  <c r="W556" i="1"/>
  <c r="N556" i="1"/>
  <c r="T556" i="1" s="1"/>
  <c r="AH555" i="1"/>
  <c r="AG555" i="1"/>
  <c r="AF555" i="1"/>
  <c r="X555" i="1"/>
  <c r="W555" i="1"/>
  <c r="N555" i="1"/>
  <c r="T555" i="1" s="1"/>
  <c r="AH545" i="1"/>
  <c r="AG545" i="1"/>
  <c r="AF545" i="1"/>
  <c r="X545" i="1"/>
  <c r="W545" i="1"/>
  <c r="N545" i="1"/>
  <c r="AH542" i="1"/>
  <c r="AG542" i="1"/>
  <c r="AF542" i="1"/>
  <c r="X542" i="1"/>
  <c r="W542" i="1"/>
  <c r="N542" i="1"/>
  <c r="AH534" i="1"/>
  <c r="AG534" i="1"/>
  <c r="AF534" i="1"/>
  <c r="X534" i="1"/>
  <c r="W534" i="1"/>
  <c r="N534" i="1"/>
  <c r="AH533" i="1"/>
  <c r="AG533" i="1"/>
  <c r="AF533" i="1"/>
  <c r="X533" i="1"/>
  <c r="W533" i="1"/>
  <c r="N533" i="1"/>
  <c r="AH530" i="1"/>
  <c r="AG530" i="1"/>
  <c r="AF530" i="1"/>
  <c r="X530" i="1"/>
  <c r="W530" i="1"/>
  <c r="N530" i="1"/>
  <c r="AH529" i="1"/>
  <c r="AG529" i="1"/>
  <c r="AF529" i="1"/>
  <c r="X529" i="1"/>
  <c r="W529" i="1"/>
  <c r="N529" i="1"/>
  <c r="AH523" i="1"/>
  <c r="AG523" i="1"/>
  <c r="AF523" i="1"/>
  <c r="X523" i="1"/>
  <c r="W523" i="1"/>
  <c r="N523" i="1"/>
  <c r="AH522" i="1"/>
  <c r="AG522" i="1"/>
  <c r="AF522" i="1"/>
  <c r="X522" i="1"/>
  <c r="W522" i="1"/>
  <c r="N522" i="1"/>
  <c r="AH521" i="1"/>
  <c r="AG521" i="1"/>
  <c r="AF521" i="1"/>
  <c r="X521" i="1"/>
  <c r="W521" i="1"/>
  <c r="N521" i="1"/>
  <c r="AH514" i="1"/>
  <c r="AG514" i="1"/>
  <c r="AF514" i="1"/>
  <c r="X514" i="1"/>
  <c r="W514" i="1"/>
  <c r="N514" i="1"/>
  <c r="AH513" i="1"/>
  <c r="AG513" i="1"/>
  <c r="AF513" i="1"/>
  <c r="X513" i="1"/>
  <c r="W513" i="1"/>
  <c r="N513" i="1"/>
  <c r="AH511" i="1"/>
  <c r="AG511" i="1"/>
  <c r="AF511" i="1"/>
  <c r="X511" i="1"/>
  <c r="W511" i="1"/>
  <c r="N511" i="1"/>
  <c r="AH510" i="1"/>
  <c r="AG510" i="1"/>
  <c r="AF510" i="1"/>
  <c r="X510" i="1"/>
  <c r="W510" i="1"/>
  <c r="N510" i="1"/>
  <c r="AH503" i="1"/>
  <c r="AG503" i="1"/>
  <c r="AF503" i="1"/>
  <c r="X503" i="1"/>
  <c r="W503" i="1"/>
  <c r="N503" i="1"/>
  <c r="T503" i="1" s="1"/>
  <c r="AH499" i="1"/>
  <c r="AG499" i="1"/>
  <c r="AF499" i="1"/>
  <c r="X499" i="1"/>
  <c r="W499" i="1"/>
  <c r="N499" i="1"/>
  <c r="T499" i="1" s="1"/>
  <c r="AH497" i="1"/>
  <c r="AG497" i="1"/>
  <c r="AF497" i="1"/>
  <c r="X497" i="1"/>
  <c r="W497" i="1"/>
  <c r="N497" i="1"/>
  <c r="AH485" i="1"/>
  <c r="AG485" i="1"/>
  <c r="AF485" i="1"/>
  <c r="X485" i="1"/>
  <c r="W485" i="1"/>
  <c r="N485" i="1"/>
  <c r="AH481" i="1"/>
  <c r="AG481" i="1"/>
  <c r="AF481" i="1"/>
  <c r="X481" i="1"/>
  <c r="W481" i="1"/>
  <c r="N481" i="1"/>
  <c r="AH477" i="1"/>
  <c r="AG477" i="1"/>
  <c r="AF477" i="1"/>
  <c r="X477" i="1"/>
  <c r="W477" i="1"/>
  <c r="N477" i="1"/>
  <c r="AH466" i="1"/>
  <c r="AG466" i="1"/>
  <c r="AF466" i="1"/>
  <c r="X466" i="1"/>
  <c r="W466" i="1"/>
  <c r="N466" i="1"/>
  <c r="AH453" i="1"/>
  <c r="AG453" i="1"/>
  <c r="AF453" i="1"/>
  <c r="X453" i="1"/>
  <c r="W453" i="1"/>
  <c r="N453" i="1"/>
  <c r="T453" i="1" s="1"/>
  <c r="AH452" i="1"/>
  <c r="AG452" i="1"/>
  <c r="AF452" i="1"/>
  <c r="X452" i="1"/>
  <c r="W452" i="1"/>
  <c r="N452" i="1"/>
  <c r="T452" i="1" s="1"/>
  <c r="AH447" i="1"/>
  <c r="AG447" i="1"/>
  <c r="AF447" i="1"/>
  <c r="X447" i="1"/>
  <c r="W447" i="1"/>
  <c r="N447" i="1"/>
  <c r="AH444" i="1"/>
  <c r="AG444" i="1"/>
  <c r="AF444" i="1"/>
  <c r="X444" i="1"/>
  <c r="W444" i="1"/>
  <c r="N444" i="1"/>
  <c r="AH438" i="1"/>
  <c r="AG438" i="1"/>
  <c r="AF438" i="1"/>
  <c r="X438" i="1"/>
  <c r="W438" i="1"/>
  <c r="N438" i="1"/>
  <c r="AH436" i="1"/>
  <c r="AG436" i="1"/>
  <c r="AF436" i="1"/>
  <c r="X436" i="1"/>
  <c r="W436" i="1"/>
  <c r="N436" i="1"/>
  <c r="AH432" i="1"/>
  <c r="AG432" i="1"/>
  <c r="AF432" i="1"/>
  <c r="X432" i="1"/>
  <c r="W432" i="1"/>
  <c r="N432" i="1"/>
  <c r="AH425" i="1"/>
  <c r="AG425" i="1"/>
  <c r="AF425" i="1"/>
  <c r="X425" i="1"/>
  <c r="W425" i="1"/>
  <c r="N425" i="1"/>
  <c r="AH422" i="1"/>
  <c r="AG422" i="1"/>
  <c r="AF422" i="1"/>
  <c r="X422" i="1"/>
  <c r="W422" i="1"/>
  <c r="N422" i="1"/>
  <c r="AH421" i="1"/>
  <c r="AG421" i="1"/>
  <c r="AF421" i="1"/>
  <c r="X421" i="1"/>
  <c r="W421" i="1"/>
  <c r="N421" i="1"/>
  <c r="AH420" i="1"/>
  <c r="AG420" i="1"/>
  <c r="AF420" i="1"/>
  <c r="X420" i="1"/>
  <c r="W420" i="1"/>
  <c r="N420" i="1"/>
  <c r="AH419" i="1"/>
  <c r="AG419" i="1"/>
  <c r="AF419" i="1"/>
  <c r="X419" i="1"/>
  <c r="W419" i="1"/>
  <c r="N419" i="1"/>
  <c r="AH418" i="1"/>
  <c r="AG418" i="1"/>
  <c r="AF418" i="1"/>
  <c r="X418" i="1"/>
  <c r="W418" i="1"/>
  <c r="N418" i="1"/>
  <c r="AH417" i="1"/>
  <c r="AG417" i="1"/>
  <c r="AF417" i="1"/>
  <c r="X417" i="1"/>
  <c r="W417" i="1"/>
  <c r="N417" i="1"/>
  <c r="AH416" i="1"/>
  <c r="AG416" i="1"/>
  <c r="AF416" i="1"/>
  <c r="X416" i="1"/>
  <c r="W416" i="1"/>
  <c r="N416" i="1"/>
  <c r="AH414" i="1"/>
  <c r="AG414" i="1"/>
  <c r="AF414" i="1"/>
  <c r="X414" i="1"/>
  <c r="W414" i="1"/>
  <c r="N414" i="1"/>
  <c r="AH413" i="1"/>
  <c r="AG413" i="1"/>
  <c r="AF413" i="1"/>
  <c r="X413" i="1"/>
  <c r="W413" i="1"/>
  <c r="N413" i="1"/>
  <c r="AH409" i="1"/>
  <c r="AG409" i="1"/>
  <c r="AF409" i="1"/>
  <c r="X409" i="1"/>
  <c r="W409" i="1"/>
  <c r="N409" i="1"/>
  <c r="AH405" i="1"/>
  <c r="AG405" i="1"/>
  <c r="AF405" i="1"/>
  <c r="X405" i="1"/>
  <c r="W405" i="1"/>
  <c r="N405" i="1"/>
  <c r="AH399" i="1"/>
  <c r="AG399" i="1"/>
  <c r="AF399" i="1"/>
  <c r="X399" i="1"/>
  <c r="W399" i="1"/>
  <c r="N399" i="1"/>
  <c r="AH382" i="1"/>
  <c r="AG382" i="1"/>
  <c r="AF382" i="1"/>
  <c r="X382" i="1"/>
  <c r="W382" i="1"/>
  <c r="N382" i="1"/>
  <c r="AH381" i="1"/>
  <c r="AG381" i="1"/>
  <c r="AF381" i="1"/>
  <c r="X381" i="1"/>
  <c r="W381" i="1"/>
  <c r="N381" i="1"/>
  <c r="AH377" i="1"/>
  <c r="AG377" i="1"/>
  <c r="AF377" i="1"/>
  <c r="X377" i="1"/>
  <c r="W377" i="1"/>
  <c r="N377" i="1"/>
  <c r="AH365" i="1"/>
  <c r="AG365" i="1"/>
  <c r="AF365" i="1"/>
  <c r="X365" i="1"/>
  <c r="W365" i="1"/>
  <c r="N365" i="1"/>
  <c r="AH358" i="1"/>
  <c r="AG358" i="1"/>
  <c r="AF358" i="1"/>
  <c r="X358" i="1"/>
  <c r="W358" i="1"/>
  <c r="N358" i="1"/>
  <c r="AP317" i="1"/>
  <c r="AH317" i="1"/>
  <c r="AG317" i="1"/>
  <c r="AF317" i="1"/>
  <c r="X317" i="1"/>
  <c r="W317" i="1"/>
  <c r="N317" i="1"/>
  <c r="AH314" i="1"/>
  <c r="AG314" i="1"/>
  <c r="AF314" i="1"/>
  <c r="X314" i="1"/>
  <c r="W314" i="1"/>
  <c r="N314" i="1"/>
  <c r="AH310" i="1"/>
  <c r="AG310" i="1"/>
  <c r="AF310" i="1"/>
  <c r="X310" i="1"/>
  <c r="W310" i="1"/>
  <c r="N310" i="1"/>
  <c r="T310" i="1" s="1"/>
  <c r="AH302" i="1"/>
  <c r="AG302" i="1"/>
  <c r="AF302" i="1"/>
  <c r="X302" i="1"/>
  <c r="W302" i="1"/>
  <c r="N302" i="1"/>
  <c r="AH300" i="1"/>
  <c r="AG300" i="1"/>
  <c r="AF300" i="1"/>
  <c r="X300" i="1"/>
  <c r="W300" i="1"/>
  <c r="N300" i="1"/>
  <c r="AH283" i="1"/>
  <c r="AG283" i="1"/>
  <c r="AF283" i="1"/>
  <c r="X283" i="1"/>
  <c r="W283" i="1"/>
  <c r="N283" i="1"/>
  <c r="T283" i="1" s="1"/>
  <c r="AH274" i="1"/>
  <c r="AG274" i="1"/>
  <c r="AF274" i="1"/>
  <c r="X274" i="1"/>
  <c r="W274" i="1"/>
  <c r="N274" i="1"/>
  <c r="AH267" i="1"/>
  <c r="AG267" i="1"/>
  <c r="AF267" i="1"/>
  <c r="X267" i="1"/>
  <c r="W267" i="1"/>
  <c r="N267" i="1"/>
  <c r="AH265" i="1"/>
  <c r="AG265" i="1"/>
  <c r="AF265" i="1"/>
  <c r="X265" i="1"/>
  <c r="W265" i="1"/>
  <c r="N265" i="1"/>
  <c r="AH261" i="1"/>
  <c r="AG261" i="1"/>
  <c r="AF261" i="1"/>
  <c r="X261" i="1"/>
  <c r="W261" i="1"/>
  <c r="N261" i="1"/>
  <c r="AH254" i="1"/>
  <c r="AG254" i="1"/>
  <c r="AF254" i="1"/>
  <c r="X254" i="1"/>
  <c r="W254" i="1"/>
  <c r="N254" i="1"/>
  <c r="T254" i="1" s="1"/>
  <c r="AH249" i="1"/>
  <c r="AG249" i="1"/>
  <c r="AF249" i="1"/>
  <c r="X249" i="1"/>
  <c r="W249" i="1"/>
  <c r="N249" i="1"/>
  <c r="T249" i="1" s="1"/>
  <c r="AH246" i="1"/>
  <c r="AG246" i="1"/>
  <c r="AF246" i="1"/>
  <c r="X246" i="1"/>
  <c r="W246" i="1"/>
  <c r="N246" i="1"/>
  <c r="AH239" i="1"/>
  <c r="AG239" i="1"/>
  <c r="AF239" i="1"/>
  <c r="X239" i="1"/>
  <c r="W239" i="1"/>
  <c r="N239" i="1"/>
  <c r="T239" i="1" s="1"/>
  <c r="AP218" i="1"/>
  <c r="AH218" i="1"/>
  <c r="AG218" i="1"/>
  <c r="AF218" i="1"/>
  <c r="X218" i="1"/>
  <c r="W218" i="1"/>
  <c r="N218" i="1"/>
  <c r="AP217" i="1"/>
  <c r="AH217" i="1"/>
  <c r="AG217" i="1"/>
  <c r="AF217" i="1"/>
  <c r="X217" i="1"/>
  <c r="W217" i="1"/>
  <c r="N217" i="1"/>
  <c r="AP216" i="1"/>
  <c r="AH216" i="1"/>
  <c r="AG216" i="1"/>
  <c r="AF216" i="1"/>
  <c r="X216" i="1"/>
  <c r="W216" i="1"/>
  <c r="N216" i="1"/>
  <c r="T216" i="1" s="1"/>
  <c r="AP215" i="1"/>
  <c r="AH215" i="1"/>
  <c r="AG215" i="1"/>
  <c r="AF215" i="1"/>
  <c r="X215" i="1"/>
  <c r="W215" i="1"/>
  <c r="N215" i="1"/>
  <c r="AP208" i="1"/>
  <c r="AH208" i="1"/>
  <c r="AG208" i="1"/>
  <c r="AF208" i="1"/>
  <c r="X208" i="1"/>
  <c r="W208" i="1"/>
  <c r="N208" i="1"/>
  <c r="AP207" i="1"/>
  <c r="AH207" i="1"/>
  <c r="AG207" i="1"/>
  <c r="AF207" i="1"/>
  <c r="X207" i="1"/>
  <c r="W207" i="1"/>
  <c r="N207" i="1"/>
  <c r="AP206" i="1"/>
  <c r="AH206" i="1"/>
  <c r="AG206" i="1"/>
  <c r="AF206" i="1"/>
  <c r="X206" i="1"/>
  <c r="W206" i="1"/>
  <c r="N206" i="1"/>
  <c r="AP205" i="1"/>
  <c r="AH205" i="1"/>
  <c r="AG205" i="1"/>
  <c r="AF205" i="1"/>
  <c r="X205" i="1"/>
  <c r="W205" i="1"/>
  <c r="N205" i="1"/>
  <c r="AP180" i="1"/>
  <c r="AH180" i="1"/>
  <c r="AG180" i="1"/>
  <c r="AF180" i="1"/>
  <c r="X180" i="1"/>
  <c r="W180" i="1"/>
  <c r="N180" i="1"/>
  <c r="AP152" i="1"/>
  <c r="AH152" i="1"/>
  <c r="AG152" i="1"/>
  <c r="AF152" i="1"/>
  <c r="X152" i="1"/>
  <c r="W152" i="1"/>
  <c r="N152" i="1"/>
  <c r="T152" i="1" s="1"/>
  <c r="AP137" i="1"/>
  <c r="AH137" i="1"/>
  <c r="AG137" i="1"/>
  <c r="AF137" i="1"/>
  <c r="X137" i="1"/>
  <c r="W137" i="1"/>
  <c r="N137" i="1"/>
  <c r="AP136" i="1"/>
  <c r="AH136" i="1"/>
  <c r="AG136" i="1"/>
  <c r="AF136" i="1"/>
  <c r="X136" i="1"/>
  <c r="W136" i="1"/>
  <c r="N136" i="1"/>
  <c r="T136" i="1" s="1"/>
  <c r="AP135" i="1"/>
  <c r="AH135" i="1"/>
  <c r="AG135" i="1"/>
  <c r="AF135" i="1"/>
  <c r="X135" i="1"/>
  <c r="W135" i="1"/>
  <c r="N135" i="1"/>
  <c r="AP134" i="1"/>
  <c r="AH134" i="1"/>
  <c r="AG134" i="1"/>
  <c r="AF134" i="1"/>
  <c r="X134" i="1"/>
  <c r="W134" i="1"/>
  <c r="N134" i="1"/>
  <c r="T134" i="1" s="1"/>
  <c r="AP133" i="1"/>
  <c r="AH133" i="1"/>
  <c r="AG133" i="1"/>
  <c r="AF133" i="1"/>
  <c r="X133" i="1"/>
  <c r="W133" i="1"/>
  <c r="N133" i="1"/>
  <c r="T133" i="1" s="1"/>
  <c r="AP130" i="1"/>
  <c r="AH130" i="1"/>
  <c r="AG130" i="1"/>
  <c r="AF130" i="1"/>
  <c r="X130" i="1"/>
  <c r="W130" i="1"/>
  <c r="N130" i="1"/>
  <c r="AP129" i="1"/>
  <c r="AH129" i="1"/>
  <c r="AG129" i="1"/>
  <c r="AF129" i="1"/>
  <c r="X129" i="1"/>
  <c r="W129" i="1"/>
  <c r="N129" i="1"/>
  <c r="AP128" i="1"/>
  <c r="AH128" i="1"/>
  <c r="AG128" i="1"/>
  <c r="AF128" i="1"/>
  <c r="X128" i="1"/>
  <c r="W128" i="1"/>
  <c r="N128" i="1"/>
  <c r="AP124" i="1"/>
  <c r="AH124" i="1"/>
  <c r="AG124" i="1"/>
  <c r="AF124" i="1"/>
  <c r="X124" i="1"/>
  <c r="W124" i="1"/>
  <c r="N124" i="1"/>
  <c r="AP111" i="1"/>
  <c r="AH111" i="1"/>
  <c r="AG111" i="1"/>
  <c r="AF111" i="1"/>
  <c r="X111" i="1"/>
  <c r="W111" i="1"/>
  <c r="N111" i="1"/>
  <c r="T111" i="1" s="1"/>
  <c r="AP109" i="1"/>
  <c r="AH109" i="1"/>
  <c r="AG109" i="1"/>
  <c r="AF109" i="1"/>
  <c r="X109" i="1"/>
  <c r="W109" i="1"/>
  <c r="N109" i="1"/>
  <c r="AP103" i="1"/>
  <c r="AH103" i="1"/>
  <c r="AG103" i="1"/>
  <c r="AF103" i="1"/>
  <c r="X103" i="1"/>
  <c r="W103" i="1"/>
  <c r="N103" i="1"/>
  <c r="AP101" i="1"/>
  <c r="AH101" i="1"/>
  <c r="AG101" i="1"/>
  <c r="AF101" i="1"/>
  <c r="X101" i="1"/>
  <c r="W101" i="1"/>
  <c r="N101" i="1"/>
  <c r="AP70" i="1"/>
  <c r="AH70" i="1"/>
  <c r="AG70" i="1"/>
  <c r="AF70" i="1"/>
  <c r="X70" i="1"/>
  <c r="W70" i="1"/>
  <c r="N70" i="1"/>
  <c r="AP69" i="1"/>
  <c r="AH69" i="1"/>
  <c r="AG69" i="1"/>
  <c r="AF69" i="1"/>
  <c r="X69" i="1"/>
  <c r="W69" i="1"/>
  <c r="N69" i="1"/>
  <c r="AP62" i="1"/>
  <c r="AH62" i="1"/>
  <c r="AG62" i="1"/>
  <c r="AF62" i="1"/>
  <c r="X62" i="1"/>
  <c r="W62" i="1"/>
  <c r="N62" i="1"/>
  <c r="AP45" i="1"/>
  <c r="AH45" i="1"/>
  <c r="AG45" i="1"/>
  <c r="AF45" i="1"/>
  <c r="X45" i="1"/>
  <c r="W45" i="1"/>
  <c r="N45" i="1"/>
  <c r="AP40" i="1"/>
  <c r="AH40" i="1"/>
  <c r="AG40" i="1"/>
  <c r="AF40" i="1"/>
  <c r="X40" i="1"/>
  <c r="W40" i="1"/>
  <c r="N40" i="1"/>
  <c r="T40" i="1" s="1"/>
  <c r="AP39" i="1"/>
  <c r="AH39" i="1"/>
  <c r="AG39" i="1"/>
  <c r="AF39" i="1"/>
  <c r="X39" i="1"/>
  <c r="W39" i="1"/>
  <c r="N39" i="1"/>
  <c r="T39" i="1" s="1"/>
  <c r="AP38" i="1"/>
  <c r="AH38" i="1"/>
  <c r="AG38" i="1"/>
  <c r="AF38" i="1"/>
  <c r="X38" i="1"/>
  <c r="W38" i="1"/>
  <c r="N38" i="1"/>
  <c r="T38" i="1" s="1"/>
  <c r="AP37" i="1"/>
  <c r="AH37" i="1"/>
  <c r="AG37" i="1"/>
  <c r="AF37" i="1"/>
  <c r="X37" i="1"/>
  <c r="W37" i="1"/>
  <c r="N37" i="1"/>
  <c r="T37" i="1" s="1"/>
  <c r="AP36" i="1"/>
  <c r="AH36" i="1"/>
  <c r="AG36" i="1"/>
  <c r="AF36" i="1"/>
  <c r="X36" i="1"/>
  <c r="W36" i="1"/>
  <c r="N36" i="1"/>
  <c r="T36" i="1" s="1"/>
  <c r="AP35" i="1"/>
  <c r="AH35" i="1"/>
  <c r="AG35" i="1"/>
  <c r="AF35" i="1"/>
  <c r="X35" i="1"/>
  <c r="W35" i="1"/>
  <c r="N35" i="1"/>
  <c r="T35" i="1" s="1"/>
  <c r="AP34" i="1"/>
  <c r="AH34" i="1"/>
  <c r="AG34" i="1"/>
  <c r="AF34" i="1"/>
  <c r="X34" i="1"/>
  <c r="W34" i="1"/>
  <c r="N34" i="1"/>
  <c r="T34" i="1" s="1"/>
  <c r="AP26" i="1"/>
  <c r="AH26" i="1"/>
  <c r="AG26" i="1"/>
  <c r="AF26" i="1"/>
  <c r="X26" i="1"/>
  <c r="W26" i="1"/>
  <c r="N26" i="1"/>
  <c r="AP22" i="1"/>
  <c r="AH22" i="1"/>
  <c r="AG22" i="1"/>
  <c r="AF22" i="1"/>
  <c r="X22" i="1"/>
  <c r="W22" i="1"/>
  <c r="N22" i="1"/>
  <c r="AH627" i="1"/>
  <c r="AG627" i="1"/>
  <c r="AF627" i="1"/>
  <c r="X627" i="1"/>
  <c r="W627" i="1"/>
  <c r="N627" i="1"/>
  <c r="T627" i="1" s="1"/>
  <c r="AH626" i="1"/>
  <c r="AG626" i="1"/>
  <c r="AF626" i="1"/>
  <c r="X626" i="1"/>
  <c r="W626" i="1"/>
  <c r="N626" i="1"/>
  <c r="T626" i="1" s="1"/>
  <c r="AP616" i="1"/>
  <c r="AH616" i="1"/>
  <c r="AG616" i="1"/>
  <c r="AF616" i="1"/>
  <c r="X616" i="1"/>
  <c r="W616" i="1"/>
  <c r="N616" i="1"/>
  <c r="AH610" i="1"/>
  <c r="AG610" i="1"/>
  <c r="AF610" i="1"/>
  <c r="X610" i="1"/>
  <c r="W610" i="1"/>
  <c r="N610" i="1"/>
  <c r="AH609" i="1"/>
  <c r="AG609" i="1"/>
  <c r="AF609" i="1"/>
  <c r="X609" i="1"/>
  <c r="W609" i="1"/>
  <c r="N609" i="1"/>
  <c r="T609" i="1" s="1"/>
  <c r="AH608" i="1"/>
  <c r="AG608" i="1"/>
  <c r="AF608" i="1"/>
  <c r="X608" i="1"/>
  <c r="W608" i="1"/>
  <c r="N608" i="1"/>
  <c r="AH607" i="1"/>
  <c r="AG607" i="1"/>
  <c r="AF607" i="1"/>
  <c r="X607" i="1"/>
  <c r="W607" i="1"/>
  <c r="N607" i="1"/>
  <c r="AH604" i="1"/>
  <c r="AG604" i="1"/>
  <c r="AF604" i="1"/>
  <c r="X604" i="1"/>
  <c r="W604" i="1"/>
  <c r="N604" i="1"/>
  <c r="T604" i="1" s="1"/>
  <c r="AH598" i="1"/>
  <c r="AG598" i="1"/>
  <c r="AF598" i="1"/>
  <c r="X598" i="1"/>
  <c r="W598" i="1"/>
  <c r="N598" i="1"/>
  <c r="T598" i="1" s="1"/>
  <c r="AH588" i="1"/>
  <c r="AG588" i="1"/>
  <c r="AF588" i="1"/>
  <c r="X588" i="1"/>
  <c r="W588" i="1"/>
  <c r="N588" i="1"/>
  <c r="AH587" i="1"/>
  <c r="AG587" i="1"/>
  <c r="AF587" i="1"/>
  <c r="X587" i="1"/>
  <c r="W587" i="1"/>
  <c r="N587" i="1"/>
  <c r="AH586" i="1"/>
  <c r="AG586" i="1"/>
  <c r="AF586" i="1"/>
  <c r="X586" i="1"/>
  <c r="W586" i="1"/>
  <c r="N586" i="1"/>
  <c r="AH585" i="1"/>
  <c r="AG585" i="1"/>
  <c r="AF585" i="1"/>
  <c r="X585" i="1"/>
  <c r="W585" i="1"/>
  <c r="N585" i="1"/>
  <c r="AH584" i="1"/>
  <c r="AG584" i="1"/>
  <c r="AF584" i="1"/>
  <c r="X584" i="1"/>
  <c r="W584" i="1"/>
  <c r="N584" i="1"/>
  <c r="AH580" i="1"/>
  <c r="AG580" i="1"/>
  <c r="AF580" i="1"/>
  <c r="X580" i="1"/>
  <c r="W580" i="1"/>
  <c r="N580" i="1"/>
  <c r="AH579" i="1"/>
  <c r="AG579" i="1"/>
  <c r="AF579" i="1"/>
  <c r="X579" i="1"/>
  <c r="W579" i="1"/>
  <c r="N579" i="1"/>
  <c r="AH577" i="1"/>
  <c r="AG577" i="1"/>
  <c r="AF577" i="1"/>
  <c r="X577" i="1"/>
  <c r="W577" i="1"/>
  <c r="N577" i="1"/>
  <c r="AH574" i="1"/>
  <c r="AG574" i="1"/>
  <c r="AF574" i="1"/>
  <c r="X574" i="1"/>
  <c r="W574" i="1"/>
  <c r="N574" i="1"/>
  <c r="AH571" i="1"/>
  <c r="AG571" i="1"/>
  <c r="AF571" i="1"/>
  <c r="X571" i="1"/>
  <c r="W571" i="1"/>
  <c r="N571" i="1"/>
  <c r="AH559" i="1"/>
  <c r="AG559" i="1"/>
  <c r="AF559" i="1"/>
  <c r="X559" i="1"/>
  <c r="W559" i="1"/>
  <c r="N559" i="1"/>
  <c r="AH549" i="1"/>
  <c r="AG549" i="1"/>
  <c r="AF549" i="1"/>
  <c r="X549" i="1"/>
  <c r="W549" i="1"/>
  <c r="N549" i="1"/>
  <c r="AH548" i="1"/>
  <c r="AG548" i="1"/>
  <c r="AF548" i="1"/>
  <c r="X548" i="1"/>
  <c r="W548" i="1"/>
  <c r="N548" i="1"/>
  <c r="AH547" i="1"/>
  <c r="AG547" i="1"/>
  <c r="AF547" i="1"/>
  <c r="X547" i="1"/>
  <c r="W547" i="1"/>
  <c r="N547" i="1"/>
  <c r="AH544" i="1"/>
  <c r="AG544" i="1"/>
  <c r="AF544" i="1"/>
  <c r="X544" i="1"/>
  <c r="W544" i="1"/>
  <c r="N544" i="1"/>
  <c r="AH535" i="1"/>
  <c r="AG535" i="1"/>
  <c r="AF535" i="1"/>
  <c r="X535" i="1"/>
  <c r="W535" i="1"/>
  <c r="N535" i="1"/>
  <c r="AH531" i="1"/>
  <c r="AG531" i="1"/>
  <c r="AF531" i="1"/>
  <c r="X531" i="1"/>
  <c r="W531" i="1"/>
  <c r="N531" i="1"/>
  <c r="AH524" i="1"/>
  <c r="AG524" i="1"/>
  <c r="AF524" i="1"/>
  <c r="X524" i="1"/>
  <c r="W524" i="1"/>
  <c r="N524" i="1"/>
  <c r="AH517" i="1"/>
  <c r="AG517" i="1"/>
  <c r="AF517" i="1"/>
  <c r="X517" i="1"/>
  <c r="W517" i="1"/>
  <c r="N517" i="1"/>
  <c r="AH516" i="1"/>
  <c r="AG516" i="1"/>
  <c r="AF516" i="1"/>
  <c r="X516" i="1"/>
  <c r="W516" i="1"/>
  <c r="N516" i="1"/>
  <c r="AH507" i="1"/>
  <c r="AG507" i="1"/>
  <c r="AF507" i="1"/>
  <c r="X507" i="1"/>
  <c r="W507" i="1"/>
  <c r="N507" i="1"/>
  <c r="AH500" i="1"/>
  <c r="AG500" i="1"/>
  <c r="AF500" i="1"/>
  <c r="X500" i="1"/>
  <c r="W500" i="1"/>
  <c r="N500" i="1"/>
  <c r="AH498" i="1"/>
  <c r="AG498" i="1"/>
  <c r="AF498" i="1"/>
  <c r="X498" i="1"/>
  <c r="W498" i="1"/>
  <c r="N498" i="1"/>
  <c r="AH494" i="1"/>
  <c r="AG494" i="1"/>
  <c r="AF494" i="1"/>
  <c r="X494" i="1"/>
  <c r="W494" i="1"/>
  <c r="N494" i="1"/>
  <c r="AH493" i="1"/>
  <c r="AG493" i="1"/>
  <c r="AF493" i="1"/>
  <c r="X493" i="1"/>
  <c r="W493" i="1"/>
  <c r="N493" i="1"/>
  <c r="AH491" i="1"/>
  <c r="AG491" i="1"/>
  <c r="AF491" i="1"/>
  <c r="X491" i="1"/>
  <c r="W491" i="1"/>
  <c r="N491" i="1"/>
  <c r="AH468" i="1"/>
  <c r="AG468" i="1"/>
  <c r="AF468" i="1"/>
  <c r="X468" i="1"/>
  <c r="W468" i="1"/>
  <c r="N468" i="1"/>
  <c r="AH465" i="1"/>
  <c r="AG465" i="1"/>
  <c r="AF465" i="1"/>
  <c r="X465" i="1"/>
  <c r="W465" i="1"/>
  <c r="N465" i="1"/>
  <c r="AH457" i="1"/>
  <c r="AG457" i="1"/>
  <c r="AF457" i="1"/>
  <c r="X457" i="1"/>
  <c r="W457" i="1"/>
  <c r="N457" i="1"/>
  <c r="T457" i="1" s="1"/>
  <c r="AH456" i="1"/>
  <c r="AG456" i="1"/>
  <c r="AF456" i="1"/>
  <c r="X456" i="1"/>
  <c r="W456" i="1"/>
  <c r="N456" i="1"/>
  <c r="T456" i="1" s="1"/>
  <c r="AH455" i="1"/>
  <c r="AG455" i="1"/>
  <c r="AF455" i="1"/>
  <c r="X455" i="1"/>
  <c r="W455" i="1"/>
  <c r="N455" i="1"/>
  <c r="T455" i="1" s="1"/>
  <c r="AH441" i="1"/>
  <c r="AG441" i="1"/>
  <c r="AF441" i="1"/>
  <c r="X441" i="1"/>
  <c r="W441" i="1"/>
  <c r="N441" i="1"/>
  <c r="AH437" i="1"/>
  <c r="AG437" i="1"/>
  <c r="AF437" i="1"/>
  <c r="X437" i="1"/>
  <c r="W437" i="1"/>
  <c r="N437" i="1"/>
  <c r="AH426" i="1"/>
  <c r="AG426" i="1"/>
  <c r="AF426" i="1"/>
  <c r="X426" i="1"/>
  <c r="W426" i="1"/>
  <c r="N426" i="1"/>
  <c r="AH398" i="1"/>
  <c r="AG398" i="1"/>
  <c r="AF398" i="1"/>
  <c r="X398" i="1"/>
  <c r="W398" i="1"/>
  <c r="N398" i="1"/>
  <c r="AH395" i="1"/>
  <c r="AG395" i="1"/>
  <c r="AF395" i="1"/>
  <c r="X395" i="1"/>
  <c r="W395" i="1"/>
  <c r="N395" i="1"/>
  <c r="AP369" i="1"/>
  <c r="AH369" i="1"/>
  <c r="AG369" i="1"/>
  <c r="AF369" i="1"/>
  <c r="X369" i="1"/>
  <c r="W369" i="1"/>
  <c r="N369" i="1"/>
  <c r="AH361" i="1"/>
  <c r="AG361" i="1"/>
  <c r="AF361" i="1"/>
  <c r="X361" i="1"/>
  <c r="W361" i="1"/>
  <c r="N361" i="1"/>
  <c r="AH359" i="1"/>
  <c r="AG359" i="1"/>
  <c r="AF359" i="1"/>
  <c r="X359" i="1"/>
  <c r="W359" i="1"/>
  <c r="N359" i="1"/>
  <c r="AH348" i="1"/>
  <c r="AG348" i="1"/>
  <c r="AF348" i="1"/>
  <c r="X348" i="1"/>
  <c r="W348" i="1"/>
  <c r="N348" i="1"/>
  <c r="AH347" i="1"/>
  <c r="AG347" i="1"/>
  <c r="AF347" i="1"/>
  <c r="X347" i="1"/>
  <c r="W347" i="1"/>
  <c r="N347" i="1"/>
  <c r="AH326" i="1"/>
  <c r="AG326" i="1"/>
  <c r="AF326" i="1"/>
  <c r="X326" i="1"/>
  <c r="W326" i="1"/>
  <c r="N326" i="1"/>
  <c r="AH321" i="1"/>
  <c r="AG321" i="1"/>
  <c r="AF321" i="1"/>
  <c r="X321" i="1"/>
  <c r="W321" i="1"/>
  <c r="N321" i="1"/>
  <c r="AH319" i="1"/>
  <c r="AG319" i="1"/>
  <c r="AF319" i="1"/>
  <c r="X319" i="1"/>
  <c r="W319" i="1"/>
  <c r="N319" i="1"/>
  <c r="AH311" i="1"/>
  <c r="AG311" i="1"/>
  <c r="AF311" i="1"/>
  <c r="X311" i="1"/>
  <c r="W311" i="1"/>
  <c r="N311" i="1"/>
  <c r="AH304" i="1"/>
  <c r="AG304" i="1"/>
  <c r="AF304" i="1"/>
  <c r="X304" i="1"/>
  <c r="W304" i="1"/>
  <c r="N304" i="1"/>
  <c r="AH293" i="1"/>
  <c r="AG293" i="1"/>
  <c r="AF293" i="1"/>
  <c r="X293" i="1"/>
  <c r="W293" i="1"/>
  <c r="N293" i="1"/>
  <c r="AQ292" i="1"/>
  <c r="AH292" i="1"/>
  <c r="AG292" i="1"/>
  <c r="AF292" i="1"/>
  <c r="X292" i="1"/>
  <c r="W292" i="1"/>
  <c r="N292" i="1"/>
  <c r="AH289" i="1"/>
  <c r="AG289" i="1"/>
  <c r="AF289" i="1"/>
  <c r="X289" i="1"/>
  <c r="W289" i="1"/>
  <c r="N289" i="1"/>
  <c r="AH287" i="1"/>
  <c r="AG287" i="1"/>
  <c r="AF287" i="1"/>
  <c r="X287" i="1"/>
  <c r="W287" i="1"/>
  <c r="N287" i="1"/>
  <c r="AH286" i="1"/>
  <c r="AG286" i="1"/>
  <c r="AF286" i="1"/>
  <c r="X286" i="1"/>
  <c r="W286" i="1"/>
  <c r="N286" i="1"/>
  <c r="AH285" i="1"/>
  <c r="AG285" i="1"/>
  <c r="AF285" i="1"/>
  <c r="X285" i="1"/>
  <c r="W285" i="1"/>
  <c r="N285" i="1"/>
  <c r="AQ281" i="1"/>
  <c r="AH281" i="1"/>
  <c r="AG281" i="1"/>
  <c r="AF281" i="1"/>
  <c r="X281" i="1"/>
  <c r="W281" i="1"/>
  <c r="N281" i="1"/>
  <c r="AH279" i="1"/>
  <c r="AG279" i="1"/>
  <c r="AF279" i="1"/>
  <c r="X279" i="1"/>
  <c r="W279" i="1"/>
  <c r="N279" i="1"/>
  <c r="T279" i="1" s="1"/>
  <c r="AH276" i="1"/>
  <c r="AG276" i="1"/>
  <c r="AF276" i="1"/>
  <c r="X276" i="1"/>
  <c r="W276" i="1"/>
  <c r="N276" i="1"/>
  <c r="AH275" i="1"/>
  <c r="AG275" i="1"/>
  <c r="AF275" i="1"/>
  <c r="X275" i="1"/>
  <c r="W275" i="1"/>
  <c r="N275" i="1"/>
  <c r="AH270" i="1"/>
  <c r="AG270" i="1"/>
  <c r="AF270" i="1"/>
  <c r="X270" i="1"/>
  <c r="W270" i="1"/>
  <c r="N270" i="1"/>
  <c r="AH269" i="1"/>
  <c r="AG269" i="1"/>
  <c r="AF269" i="1"/>
  <c r="X269" i="1"/>
  <c r="W269" i="1"/>
  <c r="N269" i="1"/>
  <c r="AH268" i="1"/>
  <c r="AG268" i="1"/>
  <c r="AF268" i="1"/>
  <c r="X268" i="1"/>
  <c r="W268" i="1"/>
  <c r="N268" i="1"/>
  <c r="AH264" i="1"/>
  <c r="AG264" i="1"/>
  <c r="AF264" i="1"/>
  <c r="X264" i="1"/>
  <c r="W264" i="1"/>
  <c r="N264" i="1"/>
  <c r="AH263" i="1"/>
  <c r="AG263" i="1"/>
  <c r="AF263" i="1"/>
  <c r="X263" i="1"/>
  <c r="W263" i="1"/>
  <c r="N263" i="1"/>
  <c r="AH262" i="1"/>
  <c r="AG262" i="1"/>
  <c r="AF262" i="1"/>
  <c r="X262" i="1"/>
  <c r="W262" i="1"/>
  <c r="N262" i="1"/>
  <c r="AQ260" i="1"/>
  <c r="AH260" i="1"/>
  <c r="AG260" i="1"/>
  <c r="AF260" i="1"/>
  <c r="X260" i="1"/>
  <c r="W260" i="1"/>
  <c r="N260" i="1"/>
  <c r="AH259" i="1"/>
  <c r="AG259" i="1"/>
  <c r="AF259" i="1"/>
  <c r="X259" i="1"/>
  <c r="W259" i="1"/>
  <c r="N259" i="1"/>
  <c r="AH258" i="1"/>
  <c r="AG258" i="1"/>
  <c r="AF258" i="1"/>
  <c r="X258" i="1"/>
  <c r="W258" i="1"/>
  <c r="N258" i="1"/>
  <c r="AH257" i="1"/>
  <c r="AG257" i="1"/>
  <c r="AF257" i="1"/>
  <c r="X257" i="1"/>
  <c r="W257" i="1"/>
  <c r="N257" i="1"/>
  <c r="T257" i="1" s="1"/>
  <c r="AH256" i="1"/>
  <c r="AG256" i="1"/>
  <c r="AF256" i="1"/>
  <c r="X256" i="1"/>
  <c r="W256" i="1"/>
  <c r="N256" i="1"/>
  <c r="AH251" i="1"/>
  <c r="AG251" i="1"/>
  <c r="AF251" i="1"/>
  <c r="X251" i="1"/>
  <c r="W251" i="1"/>
  <c r="N251" i="1"/>
  <c r="AH250" i="1"/>
  <c r="AG250" i="1"/>
  <c r="AF250" i="1"/>
  <c r="X250" i="1"/>
  <c r="W250" i="1"/>
  <c r="N250" i="1"/>
  <c r="AH245" i="1"/>
  <c r="AG245" i="1"/>
  <c r="AF245" i="1"/>
  <c r="X245" i="1"/>
  <c r="W245" i="1"/>
  <c r="N245" i="1"/>
  <c r="AH244" i="1"/>
  <c r="AG244" i="1"/>
  <c r="AF244" i="1"/>
  <c r="X244" i="1"/>
  <c r="W244" i="1"/>
  <c r="N244" i="1"/>
  <c r="AH243" i="1"/>
  <c r="AG243" i="1"/>
  <c r="AF243" i="1"/>
  <c r="X243" i="1"/>
  <c r="W243" i="1"/>
  <c r="N243" i="1"/>
  <c r="AH242" i="1"/>
  <c r="AG242" i="1"/>
  <c r="AF242" i="1"/>
  <c r="X242" i="1"/>
  <c r="W242" i="1"/>
  <c r="N242" i="1"/>
  <c r="AH240" i="1"/>
  <c r="AG240" i="1"/>
  <c r="AF240" i="1"/>
  <c r="X240" i="1"/>
  <c r="W240" i="1"/>
  <c r="N240" i="1"/>
  <c r="AH234" i="1"/>
  <c r="AG234" i="1"/>
  <c r="AF234" i="1"/>
  <c r="X234" i="1"/>
  <c r="W234" i="1"/>
  <c r="N234" i="1"/>
  <c r="AH233" i="1"/>
  <c r="AG233" i="1"/>
  <c r="AF233" i="1"/>
  <c r="X233" i="1"/>
  <c r="W233" i="1"/>
  <c r="N233" i="1"/>
  <c r="AH232" i="1"/>
  <c r="AG232" i="1"/>
  <c r="AF232" i="1"/>
  <c r="X232" i="1"/>
  <c r="W232" i="1"/>
  <c r="N232" i="1"/>
  <c r="AH229" i="1"/>
  <c r="AG229" i="1"/>
  <c r="AF229" i="1"/>
  <c r="X229" i="1"/>
  <c r="W229" i="1"/>
  <c r="N229" i="1"/>
  <c r="AQ225" i="1"/>
  <c r="AH225" i="1"/>
  <c r="AG225" i="1"/>
  <c r="AF225" i="1"/>
  <c r="X225" i="1"/>
  <c r="W225" i="1"/>
  <c r="N225" i="1"/>
  <c r="AQ224" i="1"/>
  <c r="AH224" i="1"/>
  <c r="AG224" i="1"/>
  <c r="AF224" i="1"/>
  <c r="X224" i="1"/>
  <c r="W224" i="1"/>
  <c r="N224" i="1"/>
  <c r="AQ221" i="1"/>
  <c r="AH221" i="1"/>
  <c r="AG221" i="1"/>
  <c r="AF221" i="1"/>
  <c r="X221" i="1"/>
  <c r="W221" i="1"/>
  <c r="N221" i="1"/>
  <c r="AQ211" i="1"/>
  <c r="AH211" i="1"/>
  <c r="AG211" i="1"/>
  <c r="AF211" i="1"/>
  <c r="X211" i="1"/>
  <c r="W211" i="1"/>
  <c r="N211" i="1"/>
  <c r="AQ202" i="1"/>
  <c r="AH202" i="1"/>
  <c r="AG202" i="1"/>
  <c r="AF202" i="1"/>
  <c r="X202" i="1"/>
  <c r="W202" i="1"/>
  <c r="N202" i="1"/>
  <c r="AQ194" i="1"/>
  <c r="AH194" i="1"/>
  <c r="AG194" i="1"/>
  <c r="AF194" i="1"/>
  <c r="X194" i="1"/>
  <c r="W194" i="1"/>
  <c r="N194" i="1"/>
  <c r="AQ188" i="1"/>
  <c r="AH188" i="1"/>
  <c r="AG188" i="1"/>
  <c r="AF188" i="1"/>
  <c r="X188" i="1"/>
  <c r="W188" i="1"/>
  <c r="N188" i="1"/>
  <c r="AQ182" i="1"/>
  <c r="AH182" i="1"/>
  <c r="AG182" i="1"/>
  <c r="AF182" i="1"/>
  <c r="X182" i="1"/>
  <c r="W182" i="1"/>
  <c r="N182" i="1"/>
  <c r="AQ179" i="1"/>
  <c r="AH179" i="1"/>
  <c r="AG179" i="1"/>
  <c r="AF179" i="1"/>
  <c r="X179" i="1"/>
  <c r="W179" i="1"/>
  <c r="N179" i="1"/>
  <c r="AQ174" i="1"/>
  <c r="AH174" i="1"/>
  <c r="AG174" i="1"/>
  <c r="AF174" i="1"/>
  <c r="X174" i="1"/>
  <c r="W174" i="1"/>
  <c r="N174" i="1"/>
  <c r="AQ173" i="1"/>
  <c r="AH173" i="1"/>
  <c r="AG173" i="1"/>
  <c r="AF173" i="1"/>
  <c r="X173" i="1"/>
  <c r="W173" i="1"/>
  <c r="N173" i="1"/>
  <c r="AQ172" i="1"/>
  <c r="AH172" i="1"/>
  <c r="AG172" i="1"/>
  <c r="AF172" i="1"/>
  <c r="X172" i="1"/>
  <c r="W172" i="1"/>
  <c r="N172" i="1"/>
  <c r="AQ168" i="1"/>
  <c r="AH168" i="1"/>
  <c r="AG168" i="1"/>
  <c r="AF168" i="1"/>
  <c r="X168" i="1"/>
  <c r="W168" i="1"/>
  <c r="N168" i="1"/>
  <c r="AQ166" i="1"/>
  <c r="AH166" i="1"/>
  <c r="AG166" i="1"/>
  <c r="AF166" i="1"/>
  <c r="X166" i="1"/>
  <c r="W166" i="1"/>
  <c r="N166" i="1"/>
  <c r="AQ165" i="1"/>
  <c r="AH165" i="1"/>
  <c r="AG165" i="1"/>
  <c r="AF165" i="1"/>
  <c r="X165" i="1"/>
  <c r="W165" i="1"/>
  <c r="N165" i="1"/>
  <c r="AQ162" i="1"/>
  <c r="AH162" i="1"/>
  <c r="AG162" i="1"/>
  <c r="AF162" i="1"/>
  <c r="X162" i="1"/>
  <c r="W162" i="1"/>
  <c r="N162" i="1"/>
  <c r="AQ161" i="1"/>
  <c r="AH161" i="1"/>
  <c r="AG161" i="1"/>
  <c r="AF161" i="1"/>
  <c r="X161" i="1"/>
  <c r="W161" i="1"/>
  <c r="N161" i="1"/>
  <c r="AQ159" i="1"/>
  <c r="AH159" i="1"/>
  <c r="AG159" i="1"/>
  <c r="AF159" i="1"/>
  <c r="X159" i="1"/>
  <c r="W159" i="1"/>
  <c r="N159" i="1"/>
  <c r="AQ158" i="1"/>
  <c r="AH158" i="1"/>
  <c r="AG158" i="1"/>
  <c r="AF158" i="1"/>
  <c r="X158" i="1"/>
  <c r="W158" i="1"/>
  <c r="N158" i="1"/>
  <c r="AQ157" i="1"/>
  <c r="AH157" i="1"/>
  <c r="AG157" i="1"/>
  <c r="AF157" i="1"/>
  <c r="X157" i="1"/>
  <c r="W157" i="1"/>
  <c r="N157" i="1"/>
  <c r="AQ155" i="1"/>
  <c r="AH155" i="1"/>
  <c r="AG155" i="1"/>
  <c r="AF155" i="1"/>
  <c r="X155" i="1"/>
  <c r="W155" i="1"/>
  <c r="N155" i="1"/>
  <c r="AQ153" i="1"/>
  <c r="AH153" i="1"/>
  <c r="AG153" i="1"/>
  <c r="AF153" i="1"/>
  <c r="X153" i="1"/>
  <c r="W153" i="1"/>
  <c r="N153" i="1"/>
  <c r="AQ150" i="1"/>
  <c r="AH150" i="1"/>
  <c r="AG150" i="1"/>
  <c r="AF150" i="1"/>
  <c r="X150" i="1"/>
  <c r="W150" i="1"/>
  <c r="N150" i="1"/>
  <c r="AQ148" i="1"/>
  <c r="AH148" i="1"/>
  <c r="AG148" i="1"/>
  <c r="AF148" i="1"/>
  <c r="X148" i="1"/>
  <c r="W148" i="1"/>
  <c r="N148" i="1"/>
  <c r="AQ141" i="1"/>
  <c r="AH141" i="1"/>
  <c r="AG141" i="1"/>
  <c r="AF141" i="1"/>
  <c r="X141" i="1"/>
  <c r="W141" i="1"/>
  <c r="N141" i="1"/>
  <c r="AQ140" i="1"/>
  <c r="AH140" i="1"/>
  <c r="AG140" i="1"/>
  <c r="AF140" i="1"/>
  <c r="X140" i="1"/>
  <c r="W140" i="1"/>
  <c r="N140" i="1"/>
  <c r="AQ139" i="1"/>
  <c r="AH139" i="1"/>
  <c r="AG139" i="1"/>
  <c r="AF139" i="1"/>
  <c r="X139" i="1"/>
  <c r="W139" i="1"/>
  <c r="N139" i="1"/>
  <c r="AQ31" i="1"/>
  <c r="AH31" i="1"/>
  <c r="AG31" i="1"/>
  <c r="AF31" i="1"/>
  <c r="X31" i="1"/>
  <c r="W31" i="1"/>
  <c r="N31" i="1"/>
  <c r="AH546" i="1"/>
  <c r="AG546" i="1"/>
  <c r="AF546" i="1"/>
  <c r="X546" i="1"/>
  <c r="W546" i="1"/>
  <c r="N546" i="1"/>
  <c r="AH540" i="1"/>
  <c r="AG540" i="1"/>
  <c r="AF540" i="1"/>
  <c r="X540" i="1"/>
  <c r="W540" i="1"/>
  <c r="N540" i="1"/>
  <c r="AH527" i="1"/>
  <c r="AG527" i="1"/>
  <c r="AF527" i="1"/>
  <c r="X527" i="1"/>
  <c r="W527" i="1"/>
  <c r="N527" i="1"/>
  <c r="AH526" i="1"/>
  <c r="AG526" i="1"/>
  <c r="AF526" i="1"/>
  <c r="X526" i="1"/>
  <c r="W526" i="1"/>
  <c r="N526" i="1"/>
  <c r="AH525" i="1"/>
  <c r="AG525" i="1"/>
  <c r="AF525" i="1"/>
  <c r="X525" i="1"/>
  <c r="W525" i="1"/>
  <c r="N525" i="1"/>
  <c r="AH519" i="1"/>
  <c r="AG519" i="1"/>
  <c r="AF519" i="1"/>
  <c r="X519" i="1"/>
  <c r="W519" i="1"/>
  <c r="N519" i="1"/>
  <c r="AH508" i="1"/>
  <c r="AG508" i="1"/>
  <c r="AF508" i="1"/>
  <c r="X508" i="1"/>
  <c r="W508" i="1"/>
  <c r="N508" i="1"/>
  <c r="AH496" i="1"/>
  <c r="AG496" i="1"/>
  <c r="AF496" i="1"/>
  <c r="X496" i="1"/>
  <c r="W496" i="1"/>
  <c r="N496" i="1"/>
  <c r="AH378" i="1"/>
  <c r="AG378" i="1"/>
  <c r="AF378" i="1"/>
  <c r="X378" i="1"/>
  <c r="W378" i="1"/>
  <c r="N378" i="1"/>
  <c r="AH371" i="1"/>
  <c r="AG371" i="1"/>
  <c r="AF371" i="1"/>
  <c r="X371" i="1"/>
  <c r="W371" i="1"/>
  <c r="N371" i="1"/>
  <c r="AH364" i="1"/>
  <c r="AG364" i="1"/>
  <c r="AF364" i="1"/>
  <c r="X364" i="1"/>
  <c r="W364" i="1"/>
  <c r="N364" i="1"/>
  <c r="M196" i="34" l="1"/>
  <c r="L196" i="34"/>
  <c r="K196" i="34"/>
  <c r="J196" i="34"/>
  <c r="B196" i="34"/>
  <c r="H190" i="34"/>
  <c r="G190" i="34"/>
  <c r="I190" i="34" s="1"/>
  <c r="F142" i="34" l="1"/>
  <c r="B142" i="34"/>
  <c r="O142" i="34" s="1"/>
  <c r="O124" i="34"/>
  <c r="B107" i="34"/>
  <c r="O107" i="34" s="1"/>
  <c r="M88" i="34"/>
  <c r="I124" i="34"/>
  <c r="I15" i="34"/>
  <c r="J15" i="34"/>
  <c r="C124" i="34"/>
  <c r="L142" i="34" l="1"/>
  <c r="P142" i="34" s="1"/>
  <c r="L124" i="34"/>
  <c r="P124" i="34" s="1"/>
  <c r="F124" i="34"/>
  <c r="L107" i="34"/>
  <c r="P107" i="34" s="1"/>
  <c r="F107" i="34"/>
  <c r="F88" i="34"/>
  <c r="C88" i="34"/>
  <c r="E88" i="34" l="1"/>
  <c r="N88" i="34" s="1"/>
  <c r="J88" i="34"/>
  <c r="H88" i="34"/>
  <c r="I88" i="34"/>
  <c r="K88" i="34" l="1"/>
  <c r="N70" i="34" l="1"/>
  <c r="M70" i="34"/>
  <c r="M52" i="34"/>
  <c r="L52" i="34"/>
  <c r="B34" i="34"/>
  <c r="B16" i="34"/>
  <c r="B51" i="34" s="1"/>
  <c r="AI48" i="34" s="1"/>
  <c r="I34" i="34"/>
  <c r="J51" i="34"/>
  <c r="D6" i="34"/>
  <c r="G34" i="34"/>
  <c r="M16" i="34"/>
  <c r="P50" i="34"/>
  <c r="F16" i="34"/>
  <c r="R51" i="34"/>
  <c r="D16" i="34"/>
  <c r="F34" i="34"/>
  <c r="D34" i="34"/>
  <c r="C34" i="34"/>
  <c r="G16" i="34"/>
  <c r="C16" i="34"/>
  <c r="P34" i="34"/>
  <c r="O51" i="34"/>
  <c r="I51" i="34"/>
  <c r="L16" i="34"/>
  <c r="O50" i="34"/>
  <c r="G51" i="34"/>
  <c r="O34" i="34"/>
  <c r="P51" i="34"/>
  <c r="F51" i="34"/>
  <c r="S51" i="34"/>
  <c r="J34" i="34"/>
  <c r="AJ48" i="34" l="1"/>
  <c r="AK48" i="34"/>
  <c r="AG13" i="34"/>
  <c r="L34" i="34"/>
  <c r="M34" i="34"/>
  <c r="P16" i="34"/>
  <c r="O16" i="34"/>
  <c r="C51" i="34" l="1"/>
  <c r="AH13" i="34"/>
  <c r="D51" i="34"/>
  <c r="AI13" i="34"/>
  <c r="BA554" i="1"/>
  <c r="BB554" i="1" s="1"/>
  <c r="BA553" i="1"/>
  <c r="BB553" i="1" s="1"/>
  <c r="BA552" i="1"/>
  <c r="BB552" i="1" s="1"/>
  <c r="BA551" i="1"/>
  <c r="BB551" i="1" s="1"/>
  <c r="BA550" i="1"/>
  <c r="BB550" i="1" s="1"/>
  <c r="BA543" i="1"/>
  <c r="BB543" i="1" s="1"/>
  <c r="BA541" i="1"/>
  <c r="BB541" i="1" s="1"/>
  <c r="BA539" i="1"/>
  <c r="BB539" i="1" s="1"/>
  <c r="BA538" i="1"/>
  <c r="BB538" i="1" s="1"/>
  <c r="BA537" i="1"/>
  <c r="BB537" i="1" s="1"/>
  <c r="BA536" i="1"/>
  <c r="BB536" i="1" s="1"/>
  <c r="BA532" i="1"/>
  <c r="BB532" i="1" s="1"/>
  <c r="BA528" i="1"/>
  <c r="BB528" i="1" s="1"/>
  <c r="BA520" i="1"/>
  <c r="BB520" i="1" s="1"/>
  <c r="BA518" i="1"/>
  <c r="BB518" i="1" s="1"/>
  <c r="BA515" i="1"/>
  <c r="BB515" i="1" s="1"/>
  <c r="BA509" i="1"/>
  <c r="BB509" i="1" s="1"/>
  <c r="BA505" i="1"/>
  <c r="BB505" i="1" s="1"/>
  <c r="BA504" i="1"/>
  <c r="BB504" i="1" s="1"/>
  <c r="BA502" i="1"/>
  <c r="BB502" i="1" s="1"/>
  <c r="BA495" i="1"/>
  <c r="BB495" i="1" s="1"/>
  <c r="BA492" i="1"/>
  <c r="BB492" i="1" s="1"/>
  <c r="BA490" i="1"/>
  <c r="BB490" i="1" s="1"/>
  <c r="BA489" i="1"/>
  <c r="BB489" i="1" s="1"/>
  <c r="BA488" i="1"/>
  <c r="BB488" i="1" s="1"/>
  <c r="BA487" i="1"/>
  <c r="BB487" i="1" s="1"/>
  <c r="BA486" i="1"/>
  <c r="BB486" i="1" s="1"/>
  <c r="BA484" i="1"/>
  <c r="BB484" i="1" s="1"/>
  <c r="BA483" i="1"/>
  <c r="BB483" i="1" s="1"/>
  <c r="BA482" i="1"/>
  <c r="BB482" i="1" s="1"/>
  <c r="BA478" i="1"/>
  <c r="BB478" i="1" s="1"/>
  <c r="BA476" i="1"/>
  <c r="BB476" i="1" s="1"/>
  <c r="BA475" i="1"/>
  <c r="BB475" i="1" s="1"/>
  <c r="BA474" i="1"/>
  <c r="BB474" i="1" s="1"/>
  <c r="BA473" i="1"/>
  <c r="BB473" i="1" s="1"/>
  <c r="BA472" i="1"/>
  <c r="BB472" i="1" s="1"/>
  <c r="BA471" i="1"/>
  <c r="BB471" i="1" s="1"/>
  <c r="BA470" i="1"/>
  <c r="BB470" i="1" s="1"/>
  <c r="BA469" i="1"/>
  <c r="BA467" i="1"/>
  <c r="BB467" i="1" s="1"/>
  <c r="BA464" i="1"/>
  <c r="BB464" i="1" s="1"/>
  <c r="BA463" i="1"/>
  <c r="BB463" i="1" s="1"/>
  <c r="BA462" i="1"/>
  <c r="BB462" i="1" s="1"/>
  <c r="BA461" i="1"/>
  <c r="BB461" i="1" s="1"/>
  <c r="BA460" i="1"/>
  <c r="BB460" i="1" s="1"/>
  <c r="BA459" i="1"/>
  <c r="BB459" i="1" s="1"/>
  <c r="BA458" i="1"/>
  <c r="BB458" i="1" s="1"/>
  <c r="BA454" i="1"/>
  <c r="BB454" i="1" s="1"/>
  <c r="BA451" i="1"/>
  <c r="BB451" i="1" s="1"/>
  <c r="BA450" i="1"/>
  <c r="BB450" i="1" s="1"/>
  <c r="BA449" i="1"/>
  <c r="BB449" i="1" s="1"/>
  <c r="BA448" i="1"/>
  <c r="BB448" i="1" s="1"/>
  <c r="BA446" i="1"/>
  <c r="BB446" i="1" s="1"/>
  <c r="BA445" i="1"/>
  <c r="BB445" i="1" s="1"/>
  <c r="BA443" i="1"/>
  <c r="BB443" i="1" s="1"/>
  <c r="BA442" i="1"/>
  <c r="BB442" i="1" s="1"/>
  <c r="BA440" i="1"/>
  <c r="BB440" i="1" s="1"/>
  <c r="BA435" i="1"/>
  <c r="BB435" i="1" s="1"/>
  <c r="BA434" i="1"/>
  <c r="BB434" i="1" s="1"/>
  <c r="BA433" i="1"/>
  <c r="BB433" i="1" s="1"/>
  <c r="BA431" i="1"/>
  <c r="BB431" i="1" s="1"/>
  <c r="BA430" i="1"/>
  <c r="BB430" i="1" s="1"/>
  <c r="BA429" i="1"/>
  <c r="BB429" i="1" s="1"/>
  <c r="BA428" i="1"/>
  <c r="BB428" i="1" s="1"/>
  <c r="BA427" i="1"/>
  <c r="BB427" i="1" s="1"/>
  <c r="BA424" i="1"/>
  <c r="BB424" i="1" s="1"/>
  <c r="BA423" i="1"/>
  <c r="BB423" i="1" s="1"/>
  <c r="BA412" i="1"/>
  <c r="BB412" i="1" s="1"/>
  <c r="BA411" i="1"/>
  <c r="BB411" i="1" s="1"/>
  <c r="BA410" i="1"/>
  <c r="BB410" i="1" s="1"/>
  <c r="BA408" i="1"/>
  <c r="BB408" i="1" s="1"/>
  <c r="BA407" i="1"/>
  <c r="BB407" i="1" s="1"/>
  <c r="BA406" i="1"/>
  <c r="BB406" i="1" s="1"/>
  <c r="BA404" i="1"/>
  <c r="BB404" i="1" s="1"/>
  <c r="BA403" i="1"/>
  <c r="BB403" i="1" s="1"/>
  <c r="BA402" i="1"/>
  <c r="BB402" i="1" s="1"/>
  <c r="BA401" i="1"/>
  <c r="BB401" i="1" s="1"/>
  <c r="BA400" i="1"/>
  <c r="BB400" i="1" s="1"/>
  <c r="BA397" i="1"/>
  <c r="BB397" i="1" s="1"/>
  <c r="BA396" i="1"/>
  <c r="BB396" i="1" s="1"/>
  <c r="BA394" i="1"/>
  <c r="BB394" i="1" s="1"/>
  <c r="BA393" i="1"/>
  <c r="BB393" i="1" s="1"/>
  <c r="BA392" i="1"/>
  <c r="BB392" i="1" s="1"/>
  <c r="BA390" i="1"/>
  <c r="BB390" i="1" s="1"/>
  <c r="BA389" i="1"/>
  <c r="BB389" i="1" s="1"/>
  <c r="BA388" i="1"/>
  <c r="BB388" i="1" s="1"/>
  <c r="BA387" i="1"/>
  <c r="BB387" i="1" s="1"/>
  <c r="BA386" i="1"/>
  <c r="BB386" i="1" s="1"/>
  <c r="BA385" i="1"/>
  <c r="BB385" i="1" s="1"/>
  <c r="BA384" i="1"/>
  <c r="BB384" i="1" s="1"/>
  <c r="BA383" i="1"/>
  <c r="BB383" i="1" s="1"/>
  <c r="BA380" i="1"/>
  <c r="BB380" i="1" s="1"/>
  <c r="BA379" i="1"/>
  <c r="BB379" i="1" s="1"/>
  <c r="BA376" i="1"/>
  <c r="BB376" i="1" s="1"/>
  <c r="BA375" i="1"/>
  <c r="BB375" i="1" s="1"/>
  <c r="BA374" i="1"/>
  <c r="BB374" i="1" s="1"/>
  <c r="BA373" i="1"/>
  <c r="BB373" i="1" s="1"/>
  <c r="BA372" i="1"/>
  <c r="BB372" i="1" s="1"/>
  <c r="BA370" i="1"/>
  <c r="BB370" i="1" s="1"/>
  <c r="BA368" i="1"/>
  <c r="BB368" i="1" s="1"/>
  <c r="BA367" i="1"/>
  <c r="BA366" i="1"/>
  <c r="BB366" i="1" s="1"/>
  <c r="BA363" i="1"/>
  <c r="BB363" i="1" s="1"/>
  <c r="BA362" i="1"/>
  <c r="BB362" i="1" s="1"/>
  <c r="BA360" i="1"/>
  <c r="BB360" i="1" s="1"/>
  <c r="BA357" i="1"/>
  <c r="BB357" i="1" s="1"/>
  <c r="BA356" i="1"/>
  <c r="BB356" i="1" s="1"/>
  <c r="BA355" i="1"/>
  <c r="BB355" i="1" s="1"/>
  <c r="BA353" i="1"/>
  <c r="BB353" i="1" s="1"/>
  <c r="BA352" i="1"/>
  <c r="BA351" i="1"/>
  <c r="BB351" i="1" s="1"/>
  <c r="BA350" i="1"/>
  <c r="BB350" i="1" s="1"/>
  <c r="BA349" i="1"/>
  <c r="BB349" i="1" s="1"/>
  <c r="BA346" i="1"/>
  <c r="BB346" i="1" s="1"/>
  <c r="BA345" i="1"/>
  <c r="BB345" i="1" s="1"/>
  <c r="BA344" i="1"/>
  <c r="BB344" i="1" s="1"/>
  <c r="BA343" i="1"/>
  <c r="BB343" i="1" s="1"/>
  <c r="BA342" i="1"/>
  <c r="BB342" i="1" s="1"/>
  <c r="BA341" i="1"/>
  <c r="BB341" i="1" s="1"/>
  <c r="BA340" i="1"/>
  <c r="BA339" i="1"/>
  <c r="BB339" i="1" s="1"/>
  <c r="BA338" i="1"/>
  <c r="BB338" i="1" s="1"/>
  <c r="BA337" i="1"/>
  <c r="BB337" i="1" s="1"/>
  <c r="BA336" i="1"/>
  <c r="BB336" i="1" s="1"/>
  <c r="BA335" i="1"/>
  <c r="BB335" i="1" s="1"/>
  <c r="BA334" i="1"/>
  <c r="BB334" i="1" s="1"/>
  <c r="BA333" i="1"/>
  <c r="BB333" i="1" s="1"/>
  <c r="BA332" i="1"/>
  <c r="BB332" i="1" s="1"/>
  <c r="BA331" i="1"/>
  <c r="BA330" i="1"/>
  <c r="BB330" i="1" s="1"/>
  <c r="BA329" i="1"/>
  <c r="BB329" i="1" s="1"/>
  <c r="BA328" i="1"/>
  <c r="BA327" i="1"/>
  <c r="BB327" i="1" s="1"/>
  <c r="BA325" i="1"/>
  <c r="BA324" i="1"/>
  <c r="BB324" i="1" s="1"/>
  <c r="BA323" i="1"/>
  <c r="BB323" i="1" s="1"/>
  <c r="BA322" i="1"/>
  <c r="BA320" i="1"/>
  <c r="BB320" i="1" s="1"/>
  <c r="BA318" i="1"/>
  <c r="BB318" i="1" s="1"/>
  <c r="BA316" i="1"/>
  <c r="BB316" i="1" s="1"/>
  <c r="BA315" i="1"/>
  <c r="BA313" i="1"/>
  <c r="BB313" i="1" s="1"/>
  <c r="BA312" i="1"/>
  <c r="BB312" i="1" s="1"/>
  <c r="BA309" i="1"/>
  <c r="BB309" i="1" s="1"/>
  <c r="BA308" i="1"/>
  <c r="BB308" i="1" s="1"/>
  <c r="BA307" i="1"/>
  <c r="BB307" i="1" s="1"/>
  <c r="BA306" i="1"/>
  <c r="BB306" i="1" s="1"/>
  <c r="BA305" i="1"/>
  <c r="BB305" i="1" s="1"/>
  <c r="BA303" i="1"/>
  <c r="BB303" i="1" s="1"/>
  <c r="BA301" i="1"/>
  <c r="BB301" i="1" s="1"/>
  <c r="BA299" i="1"/>
  <c r="BB299" i="1" s="1"/>
  <c r="BA298" i="1"/>
  <c r="BB298" i="1" s="1"/>
  <c r="BA297" i="1"/>
  <c r="BB297" i="1" s="1"/>
  <c r="BA296" i="1"/>
  <c r="BB296" i="1" s="1"/>
  <c r="BA295" i="1"/>
  <c r="BB295" i="1" s="1"/>
  <c r="BA294" i="1"/>
  <c r="BB294" i="1" s="1"/>
  <c r="BA291" i="1"/>
  <c r="BB291" i="1" s="1"/>
  <c r="BA290" i="1"/>
  <c r="BB290" i="1" s="1"/>
  <c r="BA288" i="1"/>
  <c r="BB288" i="1" s="1"/>
  <c r="BA284" i="1"/>
  <c r="BB284" i="1" s="1"/>
  <c r="BA282" i="1"/>
  <c r="BB282" i="1" s="1"/>
  <c r="BA280" i="1"/>
  <c r="BB280" i="1" s="1"/>
  <c r="BA278" i="1"/>
  <c r="BB278" i="1" s="1"/>
  <c r="BA277" i="1"/>
  <c r="BB277" i="1" s="1"/>
  <c r="BA273" i="1"/>
  <c r="BB273" i="1" s="1"/>
  <c r="BA272" i="1"/>
  <c r="BB272" i="1" s="1"/>
  <c r="BA271" i="1"/>
  <c r="BB271" i="1" s="1"/>
  <c r="BA266" i="1"/>
  <c r="BB266" i="1" s="1"/>
  <c r="BA255" i="1"/>
  <c r="BB255" i="1" s="1"/>
  <c r="BA253" i="1"/>
  <c r="BB253" i="1" s="1"/>
  <c r="BA252" i="1"/>
  <c r="BB252" i="1" s="1"/>
  <c r="BA248" i="1"/>
  <c r="BB248" i="1" s="1"/>
  <c r="BA247" i="1"/>
  <c r="BB247" i="1" s="1"/>
  <c r="BA241" i="1"/>
  <c r="BB241" i="1" s="1"/>
  <c r="BA238" i="1"/>
  <c r="BB238" i="1" s="1"/>
  <c r="BA237" i="1"/>
  <c r="BB237" i="1" s="1"/>
  <c r="BA236" i="1"/>
  <c r="BB236" i="1" s="1"/>
  <c r="BA235" i="1"/>
  <c r="BB235" i="1" s="1"/>
  <c r="BA231" i="1"/>
  <c r="BB231" i="1" s="1"/>
  <c r="BA230" i="1"/>
  <c r="BB230" i="1" s="1"/>
  <c r="BA228" i="1"/>
  <c r="BB228" i="1" s="1"/>
  <c r="BA227" i="1"/>
  <c r="BB227" i="1" s="1"/>
  <c r="BA226" i="1"/>
  <c r="BB226" i="1" s="1"/>
  <c r="BA223" i="1"/>
  <c r="BB223" i="1" s="1"/>
  <c r="BA222" i="1"/>
  <c r="BB222" i="1" s="1"/>
  <c r="BA220" i="1"/>
  <c r="BB220" i="1" s="1"/>
  <c r="BA219" i="1"/>
  <c r="BB219" i="1" s="1"/>
  <c r="BA214" i="1"/>
  <c r="BB214" i="1" s="1"/>
  <c r="BA213" i="1"/>
  <c r="BB213" i="1" s="1"/>
  <c r="BA212" i="1"/>
  <c r="BB212" i="1" s="1"/>
  <c r="BA210" i="1"/>
  <c r="BB210" i="1" s="1"/>
  <c r="BA209" i="1"/>
  <c r="BB209" i="1" s="1"/>
  <c r="BA204" i="1"/>
  <c r="BB204" i="1" s="1"/>
  <c r="BA203" i="1"/>
  <c r="BB203" i="1" s="1"/>
  <c r="BA201" i="1"/>
  <c r="BB201" i="1" s="1"/>
  <c r="BA200" i="1"/>
  <c r="BB200" i="1" s="1"/>
  <c r="BA199" i="1"/>
  <c r="BA198" i="1"/>
  <c r="BB198" i="1" s="1"/>
  <c r="BA197" i="1"/>
  <c r="BB197" i="1" s="1"/>
  <c r="BA196" i="1"/>
  <c r="BA195" i="1"/>
  <c r="BA193" i="1"/>
  <c r="BB193" i="1" s="1"/>
  <c r="BA192" i="1"/>
  <c r="BB192" i="1" s="1"/>
  <c r="BA191" i="1"/>
  <c r="BB191" i="1" s="1"/>
  <c r="BA190" i="1"/>
  <c r="BB190" i="1" s="1"/>
  <c r="BA189" i="1"/>
  <c r="BB189" i="1" s="1"/>
  <c r="BA187" i="1"/>
  <c r="BB187" i="1" s="1"/>
  <c r="BA186" i="1"/>
  <c r="BB186" i="1" s="1"/>
  <c r="BA185" i="1"/>
  <c r="BB185" i="1" s="1"/>
  <c r="BA184" i="1"/>
  <c r="BB184" i="1" s="1"/>
  <c r="BA183" i="1"/>
  <c r="BB183" i="1" s="1"/>
  <c r="BA181" i="1"/>
  <c r="BA178" i="1"/>
  <c r="BB178" i="1" s="1"/>
  <c r="BA177" i="1"/>
  <c r="BB177" i="1" s="1"/>
  <c r="BA176" i="1"/>
  <c r="BB176" i="1" s="1"/>
  <c r="BA175" i="1"/>
  <c r="BA171" i="1"/>
  <c r="BB171" i="1" s="1"/>
  <c r="BA170" i="1"/>
  <c r="BB170" i="1" s="1"/>
  <c r="BA169" i="1"/>
  <c r="BB169" i="1" s="1"/>
  <c r="BA167" i="1"/>
  <c r="BB167" i="1" s="1"/>
  <c r="BA164" i="1"/>
  <c r="BA163" i="1"/>
  <c r="BA160" i="1"/>
  <c r="BB160" i="1" s="1"/>
  <c r="BA156" i="1"/>
  <c r="BB156" i="1" s="1"/>
  <c r="BA154" i="1"/>
  <c r="BB154" i="1" s="1"/>
  <c r="BA151" i="1"/>
  <c r="BB151" i="1" s="1"/>
  <c r="BA149" i="1"/>
  <c r="BB149" i="1" s="1"/>
  <c r="BA147" i="1"/>
  <c r="BB147" i="1" s="1"/>
  <c r="BA146" i="1"/>
  <c r="BB146" i="1" s="1"/>
  <c r="BA145" i="1"/>
  <c r="BB145" i="1" s="1"/>
  <c r="BA144" i="1"/>
  <c r="BB144" i="1" s="1"/>
  <c r="BA143" i="1"/>
  <c r="BB143" i="1" s="1"/>
  <c r="BA142" i="1"/>
  <c r="BB142" i="1" s="1"/>
  <c r="BA138" i="1"/>
  <c r="BB138" i="1" s="1"/>
  <c r="BA132" i="1"/>
  <c r="BB132" i="1" s="1"/>
  <c r="BA131" i="1"/>
  <c r="BB131" i="1" s="1"/>
  <c r="BA127" i="1"/>
  <c r="BB127" i="1" s="1"/>
  <c r="BA126" i="1"/>
  <c r="BB126" i="1" s="1"/>
  <c r="BA125" i="1"/>
  <c r="BB125" i="1" s="1"/>
  <c r="BA123" i="1"/>
  <c r="BB123" i="1" s="1"/>
  <c r="BA122" i="1"/>
  <c r="BB122" i="1" s="1"/>
  <c r="BA121" i="1"/>
  <c r="BB121" i="1" s="1"/>
  <c r="BA120" i="1"/>
  <c r="BB120" i="1" s="1"/>
  <c r="BA119" i="1"/>
  <c r="BB119" i="1" s="1"/>
  <c r="BA118" i="1"/>
  <c r="BB118" i="1" s="1"/>
  <c r="BA117" i="1"/>
  <c r="BB117" i="1" s="1"/>
  <c r="BA116" i="1"/>
  <c r="BB116" i="1" s="1"/>
  <c r="BA115" i="1"/>
  <c r="BB115" i="1" s="1"/>
  <c r="BA114" i="1"/>
  <c r="BB114" i="1" s="1"/>
  <c r="BA113" i="1"/>
  <c r="BB113" i="1" s="1"/>
  <c r="BA112" i="1"/>
  <c r="BB112" i="1" s="1"/>
  <c r="BA110" i="1"/>
  <c r="BB110" i="1" s="1"/>
  <c r="BA108" i="1"/>
  <c r="BB108" i="1" s="1"/>
  <c r="BA107" i="1"/>
  <c r="BB107" i="1" s="1"/>
  <c r="BA106" i="1"/>
  <c r="BB106" i="1" s="1"/>
  <c r="BA105" i="1"/>
  <c r="BB105" i="1" s="1"/>
  <c r="BA104" i="1"/>
  <c r="BB104" i="1" s="1"/>
  <c r="BA102" i="1"/>
  <c r="BB102" i="1" s="1"/>
  <c r="BA100" i="1"/>
  <c r="BB100" i="1" s="1"/>
  <c r="BA99" i="1"/>
  <c r="BB99" i="1" s="1"/>
  <c r="BA98" i="1"/>
  <c r="BB98" i="1" s="1"/>
  <c r="BA97" i="1"/>
  <c r="BB97" i="1" s="1"/>
  <c r="BA96" i="1"/>
  <c r="BB96" i="1" s="1"/>
  <c r="BA95" i="1"/>
  <c r="BB95" i="1" s="1"/>
  <c r="BA94" i="1"/>
  <c r="BB94" i="1" s="1"/>
  <c r="BA93" i="1"/>
  <c r="BB93" i="1" s="1"/>
  <c r="BA92" i="1"/>
  <c r="BB92" i="1" s="1"/>
  <c r="BA91" i="1"/>
  <c r="BB91" i="1" s="1"/>
  <c r="BA90" i="1"/>
  <c r="BB90" i="1" s="1"/>
  <c r="BA89" i="1"/>
  <c r="BB89" i="1" s="1"/>
  <c r="BA88" i="1"/>
  <c r="BB88" i="1" s="1"/>
  <c r="BA87" i="1"/>
  <c r="BB87" i="1" s="1"/>
  <c r="BA86" i="1"/>
  <c r="BB86" i="1" s="1"/>
  <c r="BA85" i="1"/>
  <c r="BB85" i="1" s="1"/>
  <c r="BA84" i="1"/>
  <c r="BB84" i="1" s="1"/>
  <c r="BA83" i="1"/>
  <c r="BB83" i="1" s="1"/>
  <c r="BA82" i="1"/>
  <c r="BB82" i="1" s="1"/>
  <c r="BA81" i="1"/>
  <c r="BB81" i="1" s="1"/>
  <c r="BA80" i="1"/>
  <c r="BB80" i="1" s="1"/>
  <c r="BA79" i="1"/>
  <c r="BB79" i="1" s="1"/>
  <c r="BA78" i="1"/>
  <c r="BB78" i="1" s="1"/>
  <c r="BA77" i="1"/>
  <c r="BB77" i="1" s="1"/>
  <c r="BA76" i="1"/>
  <c r="BB76" i="1" s="1"/>
  <c r="BA75" i="1"/>
  <c r="BB75" i="1" s="1"/>
  <c r="BA74" i="1"/>
  <c r="BB74" i="1" s="1"/>
  <c r="BA73" i="1"/>
  <c r="BB73" i="1" s="1"/>
  <c r="BA72" i="1"/>
  <c r="BB72" i="1" s="1"/>
  <c r="BA71" i="1"/>
  <c r="BB71" i="1" s="1"/>
  <c r="BA68" i="1"/>
  <c r="BB68" i="1" s="1"/>
  <c r="BA67" i="1"/>
  <c r="BB67" i="1" s="1"/>
  <c r="BA66" i="1"/>
  <c r="BB66" i="1" s="1"/>
  <c r="BA65" i="1"/>
  <c r="BB65" i="1" s="1"/>
  <c r="BA64" i="1"/>
  <c r="BB64" i="1" s="1"/>
  <c r="BA63" i="1"/>
  <c r="BB63" i="1" s="1"/>
  <c r="BA61" i="1"/>
  <c r="BB61" i="1" s="1"/>
  <c r="BA60" i="1"/>
  <c r="BB60" i="1" s="1"/>
  <c r="BA59" i="1"/>
  <c r="BB59" i="1" s="1"/>
  <c r="BA58" i="1"/>
  <c r="BB58" i="1" s="1"/>
  <c r="BA57" i="1"/>
  <c r="BB57" i="1" s="1"/>
  <c r="BA56" i="1"/>
  <c r="BB56" i="1" s="1"/>
  <c r="BA55" i="1"/>
  <c r="BB55" i="1" s="1"/>
  <c r="BA54" i="1"/>
  <c r="BB54" i="1" s="1"/>
  <c r="BA53" i="1"/>
  <c r="BB53" i="1" s="1"/>
  <c r="BA52" i="1"/>
  <c r="BB52" i="1" s="1"/>
  <c r="BA51" i="1"/>
  <c r="BB51" i="1" s="1"/>
  <c r="BA50" i="1"/>
  <c r="BB50" i="1" s="1"/>
  <c r="BA49" i="1"/>
  <c r="BB49" i="1" s="1"/>
  <c r="BA48" i="1"/>
  <c r="BB48" i="1" s="1"/>
  <c r="BA47" i="1"/>
  <c r="BB47" i="1" s="1"/>
  <c r="BA46" i="1"/>
  <c r="BB46" i="1" s="1"/>
  <c r="BA44" i="1"/>
  <c r="BB44" i="1" s="1"/>
  <c r="BA43" i="1"/>
  <c r="BB43" i="1" s="1"/>
  <c r="BA42" i="1"/>
  <c r="BB42" i="1" s="1"/>
  <c r="BA41" i="1"/>
  <c r="BB41" i="1" s="1"/>
  <c r="BA33" i="1"/>
  <c r="BB33" i="1" s="1"/>
  <c r="BA32" i="1"/>
  <c r="BB32" i="1" s="1"/>
  <c r="BA30" i="1"/>
  <c r="BB30" i="1" s="1"/>
  <c r="BA29" i="1"/>
  <c r="BB29" i="1" s="1"/>
  <c r="BA28" i="1"/>
  <c r="BB28" i="1" s="1"/>
  <c r="BA27" i="1"/>
  <c r="BB27" i="1" s="1"/>
  <c r="BA25" i="1"/>
  <c r="BB25" i="1" s="1"/>
  <c r="BA24" i="1"/>
  <c r="BB24" i="1" s="1"/>
  <c r="BA23" i="1"/>
  <c r="BB23" i="1" s="1"/>
  <c r="AH501" i="1" l="1"/>
  <c r="AG501" i="1"/>
  <c r="AF501" i="1"/>
  <c r="X501" i="1"/>
  <c r="W501" i="1"/>
  <c r="N501" i="1"/>
  <c r="BA501" i="1" s="1"/>
  <c r="BB501" i="1" s="1"/>
  <c r="AH439" i="1"/>
  <c r="AG439" i="1"/>
  <c r="AF439" i="1"/>
  <c r="X439" i="1"/>
  <c r="W439" i="1"/>
  <c r="N439" i="1"/>
  <c r="BA439" i="1" s="1"/>
  <c r="BB439" i="1" s="1"/>
  <c r="AH391" i="1"/>
  <c r="AG391" i="1"/>
  <c r="AF391" i="1"/>
  <c r="X391" i="1"/>
  <c r="W391" i="1"/>
  <c r="N391" i="1"/>
  <c r="BA391" i="1" s="1"/>
  <c r="BB391" i="1" s="1"/>
  <c r="AH354" i="1"/>
  <c r="AG354" i="1"/>
  <c r="X354" i="1"/>
  <c r="W354" i="1"/>
  <c r="N354" i="1"/>
  <c r="BA354" i="1" s="1"/>
  <c r="BB354" i="1" s="1"/>
  <c r="AH512" i="1"/>
  <c r="AG512" i="1"/>
  <c r="AF512" i="1"/>
  <c r="X512" i="1"/>
  <c r="W512" i="1"/>
  <c r="N512" i="1"/>
  <c r="BA512" i="1" s="1"/>
  <c r="BB512" i="1" s="1"/>
  <c r="AH506" i="1"/>
  <c r="AG506" i="1"/>
  <c r="AF506" i="1"/>
  <c r="X506" i="1"/>
  <c r="W506" i="1"/>
  <c r="N506" i="1"/>
  <c r="BA506" i="1" s="1"/>
  <c r="BB506" i="1" s="1"/>
  <c r="AH480" i="1"/>
  <c r="AG480" i="1"/>
  <c r="AF480" i="1"/>
  <c r="X480" i="1"/>
  <c r="W480" i="1"/>
  <c r="N480" i="1"/>
  <c r="BA480" i="1" s="1"/>
  <c r="BB480" i="1" s="1"/>
  <c r="AH479" i="1"/>
  <c r="AG479" i="1"/>
  <c r="AF479" i="1"/>
  <c r="X479" i="1"/>
  <c r="W479" i="1"/>
  <c r="N479" i="1"/>
  <c r="BA479" i="1" s="1"/>
  <c r="BB479" i="1" s="1"/>
  <c r="BB17" i="1" l="1"/>
  <c r="BB16" i="1"/>
  <c r="BB15" i="1"/>
  <c r="BB14" i="1"/>
  <c r="BB13" i="1"/>
  <c r="BB12" i="1"/>
  <c r="BB11" i="1"/>
  <c r="BB9" i="1"/>
  <c r="BB4" i="1"/>
  <c r="AZ18" i="1"/>
  <c r="AZ17" i="1"/>
  <c r="AZ16" i="1"/>
  <c r="AZ15" i="1"/>
  <c r="AZ14" i="1"/>
  <c r="AZ13" i="1"/>
  <c r="AZ12" i="1"/>
  <c r="AZ11" i="1"/>
  <c r="AZ10" i="1"/>
  <c r="AZ9" i="1"/>
  <c r="AZ8" i="1"/>
  <c r="AZ7" i="1"/>
  <c r="AZ6" i="1"/>
  <c r="AY17" i="1"/>
  <c r="AY16" i="1"/>
  <c r="AY14" i="1"/>
  <c r="AY13" i="1"/>
  <c r="AY12" i="1"/>
  <c r="AY11" i="1"/>
  <c r="AY9" i="1"/>
  <c r="M195" i="34" l="1"/>
  <c r="K195" i="34"/>
  <c r="J195" i="34"/>
  <c r="L195" i="34" s="1"/>
  <c r="B195" i="34"/>
  <c r="H189" i="34"/>
  <c r="G189" i="34"/>
  <c r="I189" i="34" s="1"/>
  <c r="B141" i="34"/>
  <c r="O141" i="34" s="1"/>
  <c r="O123" i="34"/>
  <c r="B106" i="34"/>
  <c r="O106" i="34" s="1"/>
  <c r="M87" i="34"/>
  <c r="N69" i="34"/>
  <c r="M69" i="34"/>
  <c r="B33" i="34"/>
  <c r="B15" i="34"/>
  <c r="AG12" i="34" s="1"/>
  <c r="G50" i="34"/>
  <c r="G33" i="34"/>
  <c r="I123" i="34"/>
  <c r="J33" i="34"/>
  <c r="J50" i="34"/>
  <c r="I141" i="34"/>
  <c r="C33" i="34"/>
  <c r="G15" i="34"/>
  <c r="C141" i="34"/>
  <c r="I50" i="34"/>
  <c r="D15" i="34"/>
  <c r="C123" i="34"/>
  <c r="F33" i="34"/>
  <c r="C15" i="34"/>
  <c r="P33" i="34"/>
  <c r="F87" i="34"/>
  <c r="F50" i="34"/>
  <c r="L15" i="34"/>
  <c r="D33" i="34"/>
  <c r="F15" i="34"/>
  <c r="I33" i="34"/>
  <c r="O33" i="34"/>
  <c r="C87" i="34"/>
  <c r="M15" i="34"/>
  <c r="L141" i="34" l="1"/>
  <c r="P141" i="34" s="1"/>
  <c r="F141" i="34"/>
  <c r="F123" i="34"/>
  <c r="L123" i="34"/>
  <c r="P123" i="34" s="1"/>
  <c r="F106" i="34"/>
  <c r="L106" i="34"/>
  <c r="P106" i="34" s="1"/>
  <c r="H87" i="34"/>
  <c r="J87" i="34"/>
  <c r="E87" i="34"/>
  <c r="N87" i="34" s="1"/>
  <c r="I87" i="34"/>
  <c r="J69" i="34"/>
  <c r="I69" i="34"/>
  <c r="AJ47" i="34"/>
  <c r="AK47" i="34"/>
  <c r="B50" i="34"/>
  <c r="AI47" i="34" s="1"/>
  <c r="M33" i="34"/>
  <c r="L33" i="34"/>
  <c r="O15" i="34"/>
  <c r="C50" i="34" s="1"/>
  <c r="P15" i="34"/>
  <c r="D50" i="34" s="1"/>
  <c r="BD340" i="1"/>
  <c r="BB340" i="1" s="1"/>
  <c r="M37" i="31"/>
  <c r="F34" i="31"/>
  <c r="F17" i="31"/>
  <c r="F16" i="31"/>
  <c r="K87" i="34" l="1"/>
  <c r="AI12" i="34"/>
  <c r="AH12" i="34"/>
  <c r="AY21" i="1"/>
  <c r="AP19" i="1"/>
  <c r="AH393" i="1" l="1"/>
  <c r="AG393" i="1"/>
  <c r="X393" i="1"/>
  <c r="W393" i="1"/>
  <c r="M188" i="34" l="1"/>
  <c r="M187" i="34"/>
  <c r="M186" i="34"/>
  <c r="M185" i="34"/>
  <c r="M184" i="34"/>
  <c r="M183" i="34"/>
  <c r="M182" i="34"/>
  <c r="M181" i="34"/>
  <c r="M180" i="34"/>
  <c r="M179" i="34"/>
  <c r="M178" i="34"/>
  <c r="M177" i="34"/>
  <c r="M176" i="34"/>
  <c r="M175" i="34"/>
  <c r="M174" i="34"/>
  <c r="M173" i="34"/>
  <c r="M172" i="34"/>
  <c r="M171" i="34"/>
  <c r="M170" i="34"/>
  <c r="M169" i="34"/>
  <c r="M168" i="34"/>
  <c r="M167" i="34"/>
  <c r="M166" i="34"/>
  <c r="M165" i="34"/>
  <c r="M164" i="34"/>
  <c r="M163" i="34"/>
  <c r="M162" i="34"/>
  <c r="M160" i="34"/>
  <c r="M159" i="34"/>
  <c r="M158" i="34"/>
  <c r="M157" i="34"/>
  <c r="M156" i="34"/>
  <c r="M155" i="34"/>
  <c r="M154" i="34"/>
  <c r="M153" i="34"/>
  <c r="M152" i="34"/>
  <c r="K194" i="34"/>
  <c r="J194" i="34"/>
  <c r="L194" i="34" s="1"/>
  <c r="K193" i="34"/>
  <c r="J193" i="34"/>
  <c r="L193" i="34" s="1"/>
  <c r="K192" i="34"/>
  <c r="J192" i="34"/>
  <c r="K191" i="34"/>
  <c r="J191" i="34"/>
  <c r="M194" i="34"/>
  <c r="B194" i="34"/>
  <c r="M193" i="34"/>
  <c r="B193" i="34"/>
  <c r="M192" i="34"/>
  <c r="B192" i="34"/>
  <c r="M191" i="34"/>
  <c r="B191" i="34"/>
  <c r="M190" i="34"/>
  <c r="B190" i="34"/>
  <c r="H188" i="34"/>
  <c r="G188" i="34"/>
  <c r="B188" i="34"/>
  <c r="M189" i="34"/>
  <c r="B189" i="34"/>
  <c r="H187" i="34"/>
  <c r="G187" i="34"/>
  <c r="B187" i="34"/>
  <c r="H186" i="34"/>
  <c r="G186" i="34"/>
  <c r="I186" i="34" s="1"/>
  <c r="B186" i="34"/>
  <c r="H185" i="34"/>
  <c r="G185" i="34"/>
  <c r="B185" i="34"/>
  <c r="H184" i="34"/>
  <c r="G184" i="34"/>
  <c r="B184" i="34"/>
  <c r="H183" i="34"/>
  <c r="G183" i="34"/>
  <c r="B183" i="34"/>
  <c r="B140" i="34"/>
  <c r="O140" i="34" s="1"/>
  <c r="O122" i="34"/>
  <c r="C122" i="34"/>
  <c r="C140" i="34"/>
  <c r="C121" i="34"/>
  <c r="I122" i="34"/>
  <c r="F33" i="31"/>
  <c r="I121" i="34"/>
  <c r="I140" i="34"/>
  <c r="L191" i="34" l="1"/>
  <c r="J197" i="34"/>
  <c r="K197" i="34"/>
  <c r="L197" i="34" s="1"/>
  <c r="L192" i="34"/>
  <c r="I183" i="34"/>
  <c r="I187" i="34"/>
  <c r="I185" i="34"/>
  <c r="I188" i="34"/>
  <c r="I184" i="34"/>
  <c r="L140" i="34"/>
  <c r="P140" i="34" s="1"/>
  <c r="F140" i="34"/>
  <c r="L122" i="34"/>
  <c r="P122" i="34" s="1"/>
  <c r="F122" i="34"/>
  <c r="F121" i="34"/>
  <c r="L121" i="34"/>
  <c r="B105" i="34"/>
  <c r="O105" i="34" s="1"/>
  <c r="M86" i="34"/>
  <c r="M68" i="34"/>
  <c r="G86" i="34"/>
  <c r="D86" i="34"/>
  <c r="F86" i="34"/>
  <c r="C105" i="34"/>
  <c r="C86" i="34"/>
  <c r="I105" i="34"/>
  <c r="L105" i="34" l="1"/>
  <c r="P105" i="34" s="1"/>
  <c r="F105" i="34"/>
  <c r="I86" i="34"/>
  <c r="E86" i="34"/>
  <c r="N86" i="34" s="1"/>
  <c r="J86" i="34"/>
  <c r="H86" i="34"/>
  <c r="C68" i="34"/>
  <c r="M10" i="31"/>
  <c r="G68" i="34"/>
  <c r="F68" i="34"/>
  <c r="D68" i="34"/>
  <c r="K86" i="34" l="1"/>
  <c r="E68" i="34"/>
  <c r="N68" i="34" s="1"/>
  <c r="J68" i="34"/>
  <c r="H68" i="34"/>
  <c r="I68" i="34"/>
  <c r="B32" i="34"/>
  <c r="P49" i="34"/>
  <c r="S49" i="34"/>
  <c r="P48" i="34"/>
  <c r="M14" i="34"/>
  <c r="J32" i="34"/>
  <c r="S48" i="34"/>
  <c r="G49" i="34"/>
  <c r="G14" i="34"/>
  <c r="I49" i="34"/>
  <c r="I32" i="34"/>
  <c r="R48" i="34"/>
  <c r="O49" i="34"/>
  <c r="P32" i="34"/>
  <c r="O32" i="34"/>
  <c r="R49" i="34"/>
  <c r="F32" i="34"/>
  <c r="S47" i="34"/>
  <c r="O48" i="34"/>
  <c r="G32" i="34"/>
  <c r="J49" i="34"/>
  <c r="O42" i="34"/>
  <c r="F49" i="34"/>
  <c r="F14" i="34"/>
  <c r="D32" i="34"/>
  <c r="C32" i="34"/>
  <c r="P42" i="34"/>
  <c r="R47" i="34"/>
  <c r="L14" i="34"/>
  <c r="D14" i="34"/>
  <c r="AK46" i="34" l="1"/>
  <c r="AJ46" i="34"/>
  <c r="K68" i="34"/>
  <c r="L32" i="34"/>
  <c r="M32" i="34"/>
  <c r="P14" i="34"/>
  <c r="B14" i="34"/>
  <c r="C14" i="34"/>
  <c r="D49" i="34" l="1"/>
  <c r="AI11" i="34"/>
  <c r="B49" i="34"/>
  <c r="AI46" i="34" s="1"/>
  <c r="AG11" i="34"/>
  <c r="O14" i="34"/>
  <c r="BD469" i="1"/>
  <c r="BB469" i="1" s="1"/>
  <c r="BD367" i="1"/>
  <c r="BB367" i="1" s="1"/>
  <c r="BD325" i="1"/>
  <c r="BB325" i="1" s="1"/>
  <c r="BD328" i="1"/>
  <c r="BB328" i="1" s="1"/>
  <c r="C49" i="34" l="1"/>
  <c r="AH11" i="34"/>
  <c r="BD195" i="1"/>
  <c r="BB195" i="1" s="1"/>
  <c r="BD175" i="1" l="1"/>
  <c r="BB175" i="1" s="1"/>
  <c r="BA21" i="1" l="1"/>
  <c r="BB21" i="1" s="1"/>
  <c r="AZ21" i="1"/>
  <c r="BA20" i="1"/>
  <c r="AZ20" i="1"/>
  <c r="BA19" i="1"/>
  <c r="BB19" i="1" s="1"/>
  <c r="AZ19" i="1"/>
  <c r="BA9" i="1"/>
  <c r="BA14" i="1"/>
  <c r="BA13" i="1"/>
  <c r="BA12" i="1"/>
  <c r="BA15" i="1"/>
  <c r="BA11" i="1"/>
  <c r="BA4" i="1"/>
  <c r="AZ4" i="1"/>
  <c r="BA17" i="1"/>
  <c r="BA16" i="1"/>
  <c r="AP20" i="1"/>
  <c r="AY20" i="1" s="1"/>
  <c r="AY19" i="1"/>
  <c r="AY10" i="1"/>
  <c r="F15" i="31"/>
  <c r="M13" i="31"/>
  <c r="M36" i="31"/>
  <c r="AH554" i="1" l="1"/>
  <c r="AG554" i="1"/>
  <c r="X554" i="1"/>
  <c r="W554" i="1"/>
  <c r="AH553" i="1"/>
  <c r="AG553" i="1"/>
  <c r="X553" i="1"/>
  <c r="W553" i="1"/>
  <c r="AH551" i="1"/>
  <c r="AG551" i="1"/>
  <c r="X551" i="1"/>
  <c r="W551" i="1"/>
  <c r="AH550" i="1"/>
  <c r="AG550" i="1"/>
  <c r="X550" i="1"/>
  <c r="W550" i="1"/>
  <c r="AH543" i="1"/>
  <c r="AG543" i="1"/>
  <c r="X543" i="1"/>
  <c r="W543" i="1"/>
  <c r="AH539" i="1"/>
  <c r="AG539" i="1"/>
  <c r="X539" i="1"/>
  <c r="W539" i="1"/>
  <c r="AH538" i="1"/>
  <c r="AG538" i="1"/>
  <c r="X538" i="1"/>
  <c r="W538" i="1"/>
  <c r="AH537" i="1"/>
  <c r="AG537" i="1"/>
  <c r="X537" i="1"/>
  <c r="W537" i="1"/>
  <c r="AH536" i="1"/>
  <c r="AG536" i="1"/>
  <c r="X536" i="1"/>
  <c r="W536" i="1"/>
  <c r="AH532" i="1"/>
  <c r="AG532" i="1"/>
  <c r="X532" i="1"/>
  <c r="W532" i="1"/>
  <c r="AH528" i="1"/>
  <c r="AG528" i="1"/>
  <c r="X528" i="1"/>
  <c r="W528" i="1"/>
  <c r="AH520" i="1"/>
  <c r="AG520" i="1"/>
  <c r="X520" i="1"/>
  <c r="W520" i="1"/>
  <c r="AH515" i="1"/>
  <c r="AG515" i="1"/>
  <c r="X515" i="1"/>
  <c r="W515" i="1"/>
  <c r="AH509" i="1"/>
  <c r="AG509" i="1"/>
  <c r="X509" i="1"/>
  <c r="W509" i="1"/>
  <c r="AH505" i="1"/>
  <c r="AG505" i="1"/>
  <c r="X505" i="1"/>
  <c r="W505" i="1"/>
  <c r="AH504" i="1"/>
  <c r="AG504" i="1"/>
  <c r="X504" i="1"/>
  <c r="W504" i="1"/>
  <c r="AH502" i="1"/>
  <c r="AG502" i="1"/>
  <c r="X502" i="1"/>
  <c r="W502" i="1"/>
  <c r="AH495" i="1"/>
  <c r="AG495" i="1"/>
  <c r="X495" i="1"/>
  <c r="W495" i="1"/>
  <c r="AH489" i="1"/>
  <c r="AG489" i="1"/>
  <c r="X489" i="1"/>
  <c r="W489" i="1"/>
  <c r="AH486" i="1"/>
  <c r="AG486" i="1"/>
  <c r="X486" i="1"/>
  <c r="W486" i="1"/>
  <c r="AH484" i="1"/>
  <c r="AG484" i="1"/>
  <c r="X484" i="1"/>
  <c r="W484" i="1"/>
  <c r="AH483" i="1"/>
  <c r="AG483" i="1"/>
  <c r="X483" i="1"/>
  <c r="W483" i="1"/>
  <c r="AH482" i="1"/>
  <c r="AG482" i="1"/>
  <c r="X482" i="1"/>
  <c r="W482" i="1"/>
  <c r="AH476" i="1"/>
  <c r="AG476" i="1"/>
  <c r="X476" i="1"/>
  <c r="W476" i="1"/>
  <c r="AH475" i="1"/>
  <c r="AG475" i="1"/>
  <c r="X475" i="1"/>
  <c r="W475" i="1"/>
  <c r="AM474" i="1"/>
  <c r="AP474" i="1" s="1"/>
  <c r="AY474" i="1" s="1"/>
  <c r="AH474" i="1"/>
  <c r="AG474" i="1"/>
  <c r="X474" i="1"/>
  <c r="W474" i="1"/>
  <c r="AH473" i="1"/>
  <c r="AG473" i="1"/>
  <c r="X473" i="1"/>
  <c r="W473" i="1"/>
  <c r="AH472" i="1"/>
  <c r="AG472" i="1"/>
  <c r="X472" i="1"/>
  <c r="W472" i="1"/>
  <c r="AM471" i="1"/>
  <c r="AP471" i="1" s="1"/>
  <c r="AY471" i="1" s="1"/>
  <c r="AH471" i="1"/>
  <c r="AG471" i="1"/>
  <c r="X471" i="1"/>
  <c r="W471" i="1"/>
  <c r="AH470" i="1"/>
  <c r="AG470" i="1"/>
  <c r="X470" i="1"/>
  <c r="W470" i="1"/>
  <c r="AH469" i="1"/>
  <c r="AG469" i="1"/>
  <c r="X469" i="1"/>
  <c r="W469" i="1"/>
  <c r="AH467" i="1"/>
  <c r="AG467" i="1"/>
  <c r="X467" i="1"/>
  <c r="W467" i="1"/>
  <c r="AH463" i="1"/>
  <c r="AG463" i="1"/>
  <c r="X463" i="1"/>
  <c r="W463" i="1"/>
  <c r="AH461" i="1"/>
  <c r="AG461" i="1"/>
  <c r="X461" i="1"/>
  <c r="W461" i="1"/>
  <c r="AH460" i="1"/>
  <c r="AG460" i="1"/>
  <c r="X460" i="1"/>
  <c r="W460" i="1"/>
  <c r="AH451" i="1"/>
  <c r="AG451" i="1"/>
  <c r="X451" i="1"/>
  <c r="W451" i="1"/>
  <c r="AH448" i="1"/>
  <c r="AG448" i="1"/>
  <c r="X448" i="1"/>
  <c r="W448" i="1"/>
  <c r="AH446" i="1"/>
  <c r="AG446" i="1"/>
  <c r="X446" i="1"/>
  <c r="W446" i="1"/>
  <c r="AH445" i="1"/>
  <c r="AG445" i="1"/>
  <c r="X445" i="1"/>
  <c r="W445" i="1"/>
  <c r="AH443" i="1"/>
  <c r="AG443" i="1"/>
  <c r="X443" i="1"/>
  <c r="W443" i="1"/>
  <c r="AH440" i="1"/>
  <c r="AG440" i="1"/>
  <c r="X440" i="1"/>
  <c r="W440" i="1"/>
  <c r="AH435" i="1"/>
  <c r="AG435" i="1"/>
  <c r="X435" i="1"/>
  <c r="W435" i="1"/>
  <c r="AH433" i="1"/>
  <c r="AG433" i="1"/>
  <c r="X433" i="1"/>
  <c r="W433" i="1"/>
  <c r="AH431" i="1"/>
  <c r="AG431" i="1"/>
  <c r="X431" i="1"/>
  <c r="W431" i="1"/>
  <c r="AH427" i="1"/>
  <c r="AG427" i="1"/>
  <c r="X427" i="1"/>
  <c r="W427" i="1"/>
  <c r="AH423" i="1"/>
  <c r="AG423" i="1"/>
  <c r="X423" i="1"/>
  <c r="W423" i="1"/>
  <c r="AH406" i="1"/>
  <c r="AG406" i="1"/>
  <c r="X406" i="1"/>
  <c r="W406" i="1"/>
  <c r="AH404" i="1"/>
  <c r="AG404" i="1"/>
  <c r="X404" i="1"/>
  <c r="W404" i="1"/>
  <c r="AH403" i="1"/>
  <c r="AG403" i="1"/>
  <c r="X403" i="1"/>
  <c r="W403" i="1"/>
  <c r="AH402" i="1"/>
  <c r="AG402" i="1"/>
  <c r="X402" i="1"/>
  <c r="W402" i="1"/>
  <c r="AH401" i="1"/>
  <c r="AG401" i="1"/>
  <c r="X401" i="1"/>
  <c r="W401" i="1"/>
  <c r="AH400" i="1"/>
  <c r="AG400" i="1"/>
  <c r="X400" i="1"/>
  <c r="W400" i="1"/>
  <c r="AH397" i="1"/>
  <c r="AG397" i="1"/>
  <c r="X397" i="1"/>
  <c r="W397" i="1"/>
  <c r="AH323" i="1"/>
  <c r="AG323" i="1"/>
  <c r="X323" i="1"/>
  <c r="W323" i="1"/>
  <c r="AH390" i="1"/>
  <c r="AG390" i="1"/>
  <c r="X390" i="1"/>
  <c r="W390" i="1"/>
  <c r="AH388" i="1"/>
  <c r="AG388" i="1"/>
  <c r="X388" i="1"/>
  <c r="W388" i="1"/>
  <c r="AH386" i="1"/>
  <c r="AG386" i="1"/>
  <c r="X386" i="1"/>
  <c r="W386" i="1"/>
  <c r="AH385" i="1"/>
  <c r="AG385" i="1"/>
  <c r="X385" i="1"/>
  <c r="W385" i="1"/>
  <c r="AH383" i="1"/>
  <c r="AG383" i="1"/>
  <c r="X383" i="1"/>
  <c r="W383" i="1"/>
  <c r="AH376" i="1"/>
  <c r="AG376" i="1"/>
  <c r="X376" i="1"/>
  <c r="W376" i="1"/>
  <c r="AH375" i="1"/>
  <c r="AG375" i="1"/>
  <c r="X375" i="1"/>
  <c r="W375" i="1"/>
  <c r="AH372" i="1"/>
  <c r="AG372" i="1"/>
  <c r="X372" i="1"/>
  <c r="W372" i="1"/>
  <c r="AH368" i="1"/>
  <c r="AG368" i="1"/>
  <c r="X368" i="1"/>
  <c r="W368" i="1"/>
  <c r="AH367" i="1"/>
  <c r="AG367" i="1"/>
  <c r="X367" i="1"/>
  <c r="W367" i="1"/>
  <c r="AH363" i="1"/>
  <c r="AG363" i="1"/>
  <c r="X363" i="1"/>
  <c r="W363" i="1"/>
  <c r="AH362" i="1"/>
  <c r="AG362" i="1"/>
  <c r="X362" i="1"/>
  <c r="W362" i="1"/>
  <c r="AH360" i="1"/>
  <c r="AG360" i="1"/>
  <c r="X360" i="1"/>
  <c r="W360" i="1"/>
  <c r="AH355" i="1"/>
  <c r="AG355" i="1"/>
  <c r="X355" i="1"/>
  <c r="W355" i="1"/>
  <c r="AH349" i="1"/>
  <c r="AG349" i="1"/>
  <c r="X349" i="1"/>
  <c r="W349" i="1"/>
  <c r="AH337" i="1"/>
  <c r="AG337" i="1"/>
  <c r="X337" i="1"/>
  <c r="W337" i="1"/>
  <c r="AH332" i="1"/>
  <c r="AG332" i="1"/>
  <c r="X332" i="1"/>
  <c r="W332" i="1"/>
  <c r="AH328" i="1"/>
  <c r="AG328" i="1"/>
  <c r="X328" i="1"/>
  <c r="W328" i="1"/>
  <c r="AH325" i="1"/>
  <c r="AG325" i="1"/>
  <c r="X325" i="1"/>
  <c r="W325" i="1"/>
  <c r="AH306" i="1"/>
  <c r="AG306" i="1"/>
  <c r="X306" i="1"/>
  <c r="W306" i="1"/>
  <c r="AH305" i="1"/>
  <c r="AG305" i="1"/>
  <c r="X305" i="1"/>
  <c r="W305" i="1"/>
  <c r="AH301" i="1"/>
  <c r="AG301" i="1"/>
  <c r="X301" i="1"/>
  <c r="W301" i="1"/>
  <c r="AH295" i="1"/>
  <c r="AG295" i="1"/>
  <c r="X295" i="1"/>
  <c r="W295" i="1"/>
  <c r="AH291" i="1"/>
  <c r="AG291" i="1"/>
  <c r="X291" i="1"/>
  <c r="W291" i="1"/>
  <c r="AH277" i="1"/>
  <c r="AG277" i="1"/>
  <c r="X277" i="1"/>
  <c r="W277" i="1"/>
  <c r="AH273" i="1"/>
  <c r="AG273" i="1"/>
  <c r="X273" i="1"/>
  <c r="W273" i="1"/>
  <c r="AH272" i="1"/>
  <c r="AG272" i="1"/>
  <c r="X272" i="1"/>
  <c r="W272" i="1"/>
  <c r="AH271" i="1"/>
  <c r="AG271" i="1"/>
  <c r="X271" i="1"/>
  <c r="W271" i="1"/>
  <c r="AH238" i="1"/>
  <c r="AG238" i="1"/>
  <c r="X238" i="1"/>
  <c r="W238" i="1"/>
  <c r="AH235" i="1"/>
  <c r="AG235" i="1"/>
  <c r="X235" i="1"/>
  <c r="W235" i="1"/>
  <c r="AH226" i="1"/>
  <c r="AG226" i="1"/>
  <c r="X226" i="1"/>
  <c r="W226" i="1"/>
  <c r="AH220" i="1"/>
  <c r="AG220" i="1"/>
  <c r="X220" i="1"/>
  <c r="W220" i="1"/>
  <c r="AH210" i="1"/>
  <c r="AG210" i="1"/>
  <c r="X210" i="1"/>
  <c r="W210" i="1"/>
  <c r="AH195" i="1"/>
  <c r="AG195" i="1"/>
  <c r="X195" i="1"/>
  <c r="W195" i="1"/>
  <c r="AH192" i="1"/>
  <c r="AG192" i="1"/>
  <c r="X192" i="1"/>
  <c r="W192" i="1"/>
  <c r="AH411" i="1"/>
  <c r="AG411" i="1"/>
  <c r="X411" i="1"/>
  <c r="W411" i="1"/>
  <c r="AH379" i="1"/>
  <c r="AG379" i="1"/>
  <c r="X379" i="1"/>
  <c r="W379" i="1"/>
  <c r="AH17" i="1"/>
  <c r="AG17" i="1"/>
  <c r="AE17" i="1"/>
  <c r="X17" i="1"/>
  <c r="W17" i="1"/>
  <c r="AH16" i="1"/>
  <c r="AG16" i="1"/>
  <c r="AE16" i="1"/>
  <c r="X16" i="1"/>
  <c r="W16" i="1"/>
  <c r="AH14" i="1"/>
  <c r="AG14" i="1"/>
  <c r="AE14" i="1"/>
  <c r="X14" i="1"/>
  <c r="W14" i="1"/>
  <c r="AH13" i="1"/>
  <c r="AG13" i="1"/>
  <c r="AE13" i="1"/>
  <c r="X13" i="1"/>
  <c r="W13" i="1"/>
  <c r="AH12" i="1"/>
  <c r="AG12" i="1"/>
  <c r="AE12" i="1"/>
  <c r="X12" i="1"/>
  <c r="W12" i="1"/>
  <c r="AH15" i="1"/>
  <c r="AG15" i="1"/>
  <c r="AE15" i="1"/>
  <c r="X15" i="1"/>
  <c r="W15" i="1"/>
  <c r="AH11" i="1"/>
  <c r="AG11" i="1"/>
  <c r="AE11" i="1"/>
  <c r="X11" i="1"/>
  <c r="W11" i="1"/>
  <c r="AH9" i="1"/>
  <c r="AG9" i="1"/>
  <c r="AE9" i="1"/>
  <c r="X9" i="1"/>
  <c r="W9" i="1"/>
  <c r="AH4" i="1"/>
  <c r="AG4" i="1"/>
  <c r="AE4" i="1"/>
  <c r="X4" i="1"/>
  <c r="W4" i="1"/>
  <c r="H182" i="34" l="1"/>
  <c r="G182" i="34"/>
  <c r="I182" i="34" s="1"/>
  <c r="H181" i="34"/>
  <c r="G181" i="34"/>
  <c r="H180" i="34"/>
  <c r="G180" i="34"/>
  <c r="H179" i="34"/>
  <c r="G179" i="34"/>
  <c r="H178" i="34"/>
  <c r="G178" i="34"/>
  <c r="I178" i="34" s="1"/>
  <c r="H177" i="34"/>
  <c r="G177" i="34"/>
  <c r="H176" i="34"/>
  <c r="G176" i="34"/>
  <c r="I176" i="34" s="1"/>
  <c r="H175" i="34"/>
  <c r="G175" i="34"/>
  <c r="B182" i="34"/>
  <c r="B181" i="34"/>
  <c r="B180" i="34"/>
  <c r="B179" i="34"/>
  <c r="B178" i="34"/>
  <c r="B177" i="34"/>
  <c r="B176" i="34"/>
  <c r="I175" i="34" l="1"/>
  <c r="I179" i="34"/>
  <c r="I180" i="34"/>
  <c r="I177" i="34"/>
  <c r="I181" i="34"/>
  <c r="K356" i="1"/>
  <c r="AP356" i="1" s="1"/>
  <c r="AY356" i="1" s="1"/>
  <c r="H161" i="34"/>
  <c r="G161" i="34"/>
  <c r="B161" i="34"/>
  <c r="B160" i="34"/>
  <c r="B159" i="34"/>
  <c r="B158" i="34"/>
  <c r="E160" i="34"/>
  <c r="D160" i="34"/>
  <c r="E159" i="34"/>
  <c r="D159" i="34"/>
  <c r="E158" i="34"/>
  <c r="D158" i="34"/>
  <c r="B139" i="34"/>
  <c r="O139" i="34" s="1"/>
  <c r="O121" i="34"/>
  <c r="B104" i="34"/>
  <c r="O104" i="34" s="1"/>
  <c r="B103" i="34"/>
  <c r="B102" i="34"/>
  <c r="M85" i="34"/>
  <c r="H85" i="34"/>
  <c r="E85" i="34"/>
  <c r="N85" i="34" s="1"/>
  <c r="J85" i="34"/>
  <c r="I85" i="34"/>
  <c r="H67" i="34"/>
  <c r="M67" i="34"/>
  <c r="B31" i="34"/>
  <c r="B30" i="34"/>
  <c r="B29" i="34"/>
  <c r="B28" i="34"/>
  <c r="B27" i="34"/>
  <c r="B26" i="34"/>
  <c r="B25" i="34"/>
  <c r="B24" i="34"/>
  <c r="B23" i="34"/>
  <c r="B13" i="34"/>
  <c r="AG10" i="34" s="1"/>
  <c r="C67" i="34"/>
  <c r="I31" i="34"/>
  <c r="L13" i="34"/>
  <c r="P31" i="34"/>
  <c r="D13" i="34"/>
  <c r="I139" i="34"/>
  <c r="J31" i="34"/>
  <c r="J48" i="34"/>
  <c r="F48" i="34"/>
  <c r="F13" i="34"/>
  <c r="F31" i="34"/>
  <c r="G31" i="34"/>
  <c r="I48" i="34"/>
  <c r="G13" i="34"/>
  <c r="C31" i="34"/>
  <c r="C139" i="34"/>
  <c r="C104" i="34"/>
  <c r="D31" i="34"/>
  <c r="M13" i="34"/>
  <c r="C13" i="34"/>
  <c r="O31" i="34"/>
  <c r="G48" i="34"/>
  <c r="I104" i="34"/>
  <c r="K85" i="34" l="1"/>
  <c r="F158" i="34"/>
  <c r="F159" i="34"/>
  <c r="I161" i="34"/>
  <c r="F160" i="34"/>
  <c r="F139" i="34"/>
  <c r="L139" i="34"/>
  <c r="P139" i="34" s="1"/>
  <c r="P121" i="34"/>
  <c r="L104" i="34"/>
  <c r="P104" i="34" s="1"/>
  <c r="F104" i="34"/>
  <c r="J67" i="34"/>
  <c r="E67" i="34"/>
  <c r="N67" i="34" s="1"/>
  <c r="I67" i="34"/>
  <c r="AJ45" i="34"/>
  <c r="AK45" i="34"/>
  <c r="B48" i="34"/>
  <c r="AI45" i="34" s="1"/>
  <c r="L31" i="34"/>
  <c r="M31" i="34"/>
  <c r="P13" i="34"/>
  <c r="D48" i="34" s="1"/>
  <c r="O13" i="34"/>
  <c r="C48" i="34" s="1"/>
  <c r="K67" i="34" l="1"/>
  <c r="AH10" i="34"/>
  <c r="AI10" i="34"/>
  <c r="BD315" i="1"/>
  <c r="BB315" i="1" s="1"/>
  <c r="BD322" i="1"/>
  <c r="BB322" i="1" s="1"/>
  <c r="BD331" i="1"/>
  <c r="BB331" i="1" s="1"/>
  <c r="BD352" i="1"/>
  <c r="BB352" i="1" s="1"/>
  <c r="BD5" i="1"/>
  <c r="BD181" i="1"/>
  <c r="BB181" i="1" s="1"/>
  <c r="BD196" i="1"/>
  <c r="BB196" i="1" s="1"/>
  <c r="BD199" i="1"/>
  <c r="BB199" i="1" s="1"/>
  <c r="F13" i="31"/>
  <c r="M12" i="31"/>
  <c r="M35" i="31"/>
  <c r="M11" i="31"/>
  <c r="F14" i="31"/>
  <c r="BA5" i="1" l="1"/>
  <c r="BB5" i="1" s="1"/>
  <c r="AZ5" i="1"/>
  <c r="AY5" i="1"/>
  <c r="AH353" i="1" l="1"/>
  <c r="AG353" i="1"/>
  <c r="X353" i="1"/>
  <c r="W353" i="1"/>
  <c r="AH330" i="1"/>
  <c r="AG330" i="1"/>
  <c r="X330" i="1"/>
  <c r="W330" i="1"/>
  <c r="E157" i="34" l="1"/>
  <c r="D157" i="34"/>
  <c r="E156" i="34"/>
  <c r="D156" i="34"/>
  <c r="E155" i="34"/>
  <c r="D155" i="34"/>
  <c r="F155" i="34" s="1"/>
  <c r="E154" i="34"/>
  <c r="D154" i="34"/>
  <c r="F154" i="34" s="1"/>
  <c r="E153" i="34"/>
  <c r="D153" i="34"/>
  <c r="E152" i="34"/>
  <c r="D152" i="34"/>
  <c r="F152" i="34" s="1"/>
  <c r="B138" i="34"/>
  <c r="O138" i="34" s="1"/>
  <c r="O120" i="34"/>
  <c r="O103" i="34"/>
  <c r="N83" i="34"/>
  <c r="N82" i="34"/>
  <c r="N81" i="34"/>
  <c r="N80" i="34"/>
  <c r="N79" i="34"/>
  <c r="M84" i="34"/>
  <c r="N62" i="34"/>
  <c r="N61" i="34"/>
  <c r="M66" i="34"/>
  <c r="F84" i="34"/>
  <c r="I138" i="34"/>
  <c r="C103" i="34"/>
  <c r="D66" i="34"/>
  <c r="C138" i="34"/>
  <c r="C84" i="34"/>
  <c r="G66" i="34"/>
  <c r="D84" i="34"/>
  <c r="C120" i="34"/>
  <c r="I120" i="34"/>
  <c r="G84" i="34"/>
  <c r="I103" i="34"/>
  <c r="D64" i="34"/>
  <c r="F153" i="34" l="1"/>
  <c r="F157" i="34"/>
  <c r="F156" i="34"/>
  <c r="L138" i="34"/>
  <c r="P138" i="34" s="1"/>
  <c r="F138" i="34"/>
  <c r="F120" i="34"/>
  <c r="L120" i="34"/>
  <c r="P120" i="34" s="1"/>
  <c r="L103" i="34"/>
  <c r="P103" i="34" s="1"/>
  <c r="F103" i="34"/>
  <c r="E84" i="34"/>
  <c r="N84" i="34" s="1"/>
  <c r="H84" i="34"/>
  <c r="J84" i="34"/>
  <c r="I84" i="34"/>
  <c r="B12" i="34"/>
  <c r="AG9" i="34" s="1"/>
  <c r="C66" i="34"/>
  <c r="P47" i="34"/>
  <c r="I47" i="34"/>
  <c r="G12" i="34"/>
  <c r="D30" i="34"/>
  <c r="M12" i="34"/>
  <c r="S46" i="34"/>
  <c r="F12" i="34"/>
  <c r="F30" i="34"/>
  <c r="J47" i="34"/>
  <c r="C30" i="34"/>
  <c r="O47" i="34"/>
  <c r="O46" i="34"/>
  <c r="D60" i="34"/>
  <c r="D12" i="34"/>
  <c r="F66" i="34"/>
  <c r="C12" i="34"/>
  <c r="P30" i="34"/>
  <c r="G47" i="34"/>
  <c r="I30" i="34"/>
  <c r="L12" i="34"/>
  <c r="O30" i="34"/>
  <c r="R46" i="34"/>
  <c r="J30" i="34"/>
  <c r="F47" i="34"/>
  <c r="P46" i="34"/>
  <c r="G30" i="34"/>
  <c r="K84" i="34" l="1"/>
  <c r="E66" i="34"/>
  <c r="N66" i="34" s="1"/>
  <c r="J66" i="34"/>
  <c r="H66" i="34"/>
  <c r="I66" i="34"/>
  <c r="AJ44" i="34"/>
  <c r="AK44" i="34"/>
  <c r="B47" i="34"/>
  <c r="L30" i="34"/>
  <c r="M30" i="34"/>
  <c r="P12" i="34"/>
  <c r="D47" i="34" s="1"/>
  <c r="O12" i="34"/>
  <c r="C47" i="34" s="1"/>
  <c r="AI44" i="34" l="1"/>
  <c r="K66" i="34"/>
  <c r="AH9" i="34"/>
  <c r="AI9" i="34"/>
  <c r="F31" i="31"/>
  <c r="M34" i="31"/>
  <c r="N35" i="31" l="1"/>
  <c r="AM223" i="1" l="1"/>
  <c r="AP223" i="1" s="1"/>
  <c r="AY223" i="1" s="1"/>
  <c r="AH146" i="1" l="1"/>
  <c r="AG146" i="1"/>
  <c r="X146" i="1"/>
  <c r="W146" i="1"/>
  <c r="AH389" i="1" l="1"/>
  <c r="AG389" i="1"/>
  <c r="X389" i="1"/>
  <c r="W389" i="1"/>
  <c r="AH384" i="1"/>
  <c r="AG384" i="1"/>
  <c r="X384" i="1"/>
  <c r="W384" i="1"/>
  <c r="X344" i="1"/>
  <c r="W344" i="1"/>
  <c r="AH339" i="1"/>
  <c r="AG339" i="1"/>
  <c r="X339" i="1"/>
  <c r="W339" i="1"/>
  <c r="AH338" i="1"/>
  <c r="AG338" i="1"/>
  <c r="X338" i="1"/>
  <c r="W338" i="1"/>
  <c r="AH336" i="1"/>
  <c r="AG336" i="1"/>
  <c r="X336" i="1"/>
  <c r="W336" i="1"/>
  <c r="X334" i="1"/>
  <c r="W334" i="1"/>
  <c r="AH327" i="1"/>
  <c r="AG327" i="1"/>
  <c r="X327" i="1"/>
  <c r="W327" i="1"/>
  <c r="AH324" i="1"/>
  <c r="AG324" i="1"/>
  <c r="X324" i="1"/>
  <c r="W324" i="1"/>
  <c r="AH313" i="1"/>
  <c r="AG313" i="1"/>
  <c r="X313" i="1"/>
  <c r="W313" i="1"/>
  <c r="AH312" i="1"/>
  <c r="AG312" i="1"/>
  <c r="X312" i="1"/>
  <c r="W312" i="1"/>
  <c r="AH309" i="1"/>
  <c r="AG309" i="1"/>
  <c r="X309" i="1"/>
  <c r="W309" i="1"/>
  <c r="AH308" i="1"/>
  <c r="AG308" i="1"/>
  <c r="X308" i="1"/>
  <c r="W308" i="1"/>
  <c r="AH303" i="1"/>
  <c r="AG303" i="1"/>
  <c r="X303" i="1"/>
  <c r="W303" i="1"/>
  <c r="AH299" i="1"/>
  <c r="AG299" i="1"/>
  <c r="AH298" i="1"/>
  <c r="AG298" i="1"/>
  <c r="AH297" i="1"/>
  <c r="AG297" i="1"/>
  <c r="AH296" i="1"/>
  <c r="AG296" i="1"/>
  <c r="X296" i="1"/>
  <c r="W296" i="1"/>
  <c r="AH294" i="1"/>
  <c r="AG294" i="1"/>
  <c r="AH290" i="1"/>
  <c r="AG290" i="1"/>
  <c r="X290" i="1"/>
  <c r="W290" i="1"/>
  <c r="AH288" i="1"/>
  <c r="AG288" i="1"/>
  <c r="X288" i="1"/>
  <c r="W288" i="1"/>
  <c r="AH278" i="1"/>
  <c r="AG278" i="1"/>
  <c r="X278" i="1"/>
  <c r="W278" i="1"/>
  <c r="AH266" i="1"/>
  <c r="AG266" i="1"/>
  <c r="X266" i="1"/>
  <c r="W266" i="1"/>
  <c r="AH241" i="1"/>
  <c r="AG241" i="1"/>
  <c r="X241" i="1"/>
  <c r="W241" i="1"/>
  <c r="AH231" i="1"/>
  <c r="AG231" i="1"/>
  <c r="X231" i="1"/>
  <c r="W231" i="1"/>
  <c r="AH230" i="1"/>
  <c r="AG230" i="1"/>
  <c r="X230" i="1"/>
  <c r="W230" i="1"/>
  <c r="AH228" i="1"/>
  <c r="AG228" i="1"/>
  <c r="X228" i="1"/>
  <c r="W228" i="1"/>
  <c r="AH227" i="1"/>
  <c r="AG227" i="1"/>
  <c r="X227" i="1"/>
  <c r="W227" i="1"/>
  <c r="AH223" i="1"/>
  <c r="AG223" i="1"/>
  <c r="X223" i="1"/>
  <c r="W223" i="1"/>
  <c r="AH222" i="1"/>
  <c r="AG222" i="1"/>
  <c r="X222" i="1"/>
  <c r="W222" i="1"/>
  <c r="AH219" i="1"/>
  <c r="AG219" i="1"/>
  <c r="X219" i="1"/>
  <c r="W219" i="1"/>
  <c r="AH213" i="1"/>
  <c r="AG213" i="1"/>
  <c r="X213" i="1"/>
  <c r="W213" i="1"/>
  <c r="AH193" i="1"/>
  <c r="AG193" i="1"/>
  <c r="X193" i="1"/>
  <c r="W193" i="1"/>
  <c r="AH187" i="1"/>
  <c r="AG187" i="1"/>
  <c r="X187" i="1"/>
  <c r="W187" i="1"/>
  <c r="AH178" i="1"/>
  <c r="AG178" i="1"/>
  <c r="X178" i="1"/>
  <c r="W178" i="1"/>
  <c r="BA18" i="1" l="1"/>
  <c r="BA10" i="1"/>
  <c r="BA8" i="1"/>
  <c r="BA7" i="1"/>
  <c r="BB7" i="1" s="1"/>
  <c r="BA6" i="1"/>
  <c r="BB6" i="1" s="1"/>
  <c r="G174" i="34"/>
  <c r="H174" i="34"/>
  <c r="B156" i="34"/>
  <c r="F132" i="34"/>
  <c r="F135" i="34"/>
  <c r="B137" i="34"/>
  <c r="O137" i="34" s="1"/>
  <c r="O119" i="34"/>
  <c r="F115" i="34"/>
  <c r="F117" i="34"/>
  <c r="F118" i="34"/>
  <c r="L119" i="34"/>
  <c r="P119" i="34" s="1"/>
  <c r="F119" i="34"/>
  <c r="O102" i="34"/>
  <c r="F99" i="34"/>
  <c r="M83" i="34"/>
  <c r="J80" i="34"/>
  <c r="J81" i="34"/>
  <c r="J82" i="34"/>
  <c r="I80" i="34"/>
  <c r="I81" i="34"/>
  <c r="I82" i="34"/>
  <c r="J83" i="34"/>
  <c r="I83" i="34"/>
  <c r="M65" i="34"/>
  <c r="J62" i="34"/>
  <c r="I62" i="34"/>
  <c r="H65" i="34"/>
  <c r="J65" i="34"/>
  <c r="B11" i="34"/>
  <c r="B46" i="34" s="1"/>
  <c r="BD164" i="1"/>
  <c r="BB164" i="1" s="1"/>
  <c r="BD163" i="1"/>
  <c r="BB163" i="1" s="1"/>
  <c r="AH280" i="1"/>
  <c r="AG280" i="1"/>
  <c r="X280" i="1"/>
  <c r="W280" i="1"/>
  <c r="AM247" i="1"/>
  <c r="AH247" i="1"/>
  <c r="AG247" i="1"/>
  <c r="X247" i="1"/>
  <c r="W247" i="1"/>
  <c r="K247" i="1"/>
  <c r="AP247" i="1" s="1"/>
  <c r="AY247" i="1" s="1"/>
  <c r="AH237" i="1"/>
  <c r="AG237" i="1"/>
  <c r="X237" i="1"/>
  <c r="W237" i="1"/>
  <c r="AH236" i="1"/>
  <c r="AG236" i="1"/>
  <c r="X236" i="1"/>
  <c r="W236" i="1"/>
  <c r="AH200" i="1"/>
  <c r="AG200" i="1"/>
  <c r="X200" i="1"/>
  <c r="W200" i="1"/>
  <c r="AM198" i="1"/>
  <c r="AP198" i="1" s="1"/>
  <c r="AY198" i="1" s="1"/>
  <c r="AH198" i="1"/>
  <c r="AG198" i="1"/>
  <c r="X198" i="1"/>
  <c r="W198" i="1"/>
  <c r="AH197" i="1"/>
  <c r="AG197" i="1"/>
  <c r="X197" i="1"/>
  <c r="W197" i="1"/>
  <c r="AM191" i="1"/>
  <c r="AP191" i="1" s="1"/>
  <c r="AY191" i="1" s="1"/>
  <c r="AH191" i="1"/>
  <c r="AG191" i="1"/>
  <c r="X191" i="1"/>
  <c r="W191" i="1"/>
  <c r="AH177" i="1"/>
  <c r="AG177" i="1"/>
  <c r="X177" i="1"/>
  <c r="W177" i="1"/>
  <c r="AH171" i="1"/>
  <c r="AG171" i="1"/>
  <c r="X171" i="1"/>
  <c r="W171" i="1"/>
  <c r="AH164" i="1"/>
  <c r="AG164" i="1"/>
  <c r="X164" i="1"/>
  <c r="W164" i="1"/>
  <c r="AH163" i="1"/>
  <c r="AG163" i="1"/>
  <c r="X163" i="1"/>
  <c r="W163" i="1"/>
  <c r="AH160" i="1"/>
  <c r="AG160" i="1"/>
  <c r="X160" i="1"/>
  <c r="W160" i="1"/>
  <c r="AH147" i="1"/>
  <c r="AG147" i="1"/>
  <c r="X147" i="1"/>
  <c r="W147" i="1"/>
  <c r="M151" i="34"/>
  <c r="M161" i="34"/>
  <c r="H162" i="34"/>
  <c r="H163" i="34"/>
  <c r="H164" i="34"/>
  <c r="H165" i="34"/>
  <c r="H166" i="34"/>
  <c r="H167" i="34"/>
  <c r="H168" i="34"/>
  <c r="H169" i="34"/>
  <c r="H170" i="34"/>
  <c r="H171" i="34"/>
  <c r="H172" i="34"/>
  <c r="H173" i="34"/>
  <c r="G162" i="34"/>
  <c r="G163" i="34"/>
  <c r="G164" i="34"/>
  <c r="G165" i="34"/>
  <c r="G166" i="34"/>
  <c r="G167" i="34"/>
  <c r="G168" i="34"/>
  <c r="G169" i="34"/>
  <c r="G170" i="34"/>
  <c r="G171" i="34"/>
  <c r="G172" i="34"/>
  <c r="G173" i="34"/>
  <c r="E151" i="34"/>
  <c r="E197" i="34" s="1"/>
  <c r="D151" i="34"/>
  <c r="D197" i="34" s="1"/>
  <c r="B136" i="34"/>
  <c r="O136" i="34" s="1"/>
  <c r="L118" i="34"/>
  <c r="P118" i="34" s="1"/>
  <c r="O118" i="34"/>
  <c r="B101" i="34"/>
  <c r="O101" i="34" s="1"/>
  <c r="F116" i="34"/>
  <c r="F98" i="34"/>
  <c r="M82" i="34"/>
  <c r="J79" i="34"/>
  <c r="I79" i="34"/>
  <c r="M64" i="34"/>
  <c r="J61" i="34"/>
  <c r="I61" i="34"/>
  <c r="B10" i="34"/>
  <c r="B45" i="34" s="1"/>
  <c r="AY8" i="1"/>
  <c r="AP7" i="1"/>
  <c r="AY7" i="1" s="1"/>
  <c r="BF48" i="1"/>
  <c r="BF42" i="1"/>
  <c r="BF40" i="1"/>
  <c r="BF27" i="1"/>
  <c r="BF25" i="1"/>
  <c r="BF22" i="1"/>
  <c r="BD18" i="1"/>
  <c r="BD10" i="1"/>
  <c r="AH144" i="1"/>
  <c r="AG144" i="1"/>
  <c r="X144" i="1"/>
  <c r="W144" i="1"/>
  <c r="AH143" i="1"/>
  <c r="AG143" i="1"/>
  <c r="X143" i="1"/>
  <c r="W143" i="1"/>
  <c r="BD8" i="1"/>
  <c r="B153" i="34"/>
  <c r="B152" i="34"/>
  <c r="L135" i="34"/>
  <c r="P135" i="34" s="1"/>
  <c r="B135" i="34"/>
  <c r="O135" i="34" s="1"/>
  <c r="L117" i="34"/>
  <c r="P117" i="34" s="1"/>
  <c r="O117" i="34"/>
  <c r="O100" i="34"/>
  <c r="M81" i="34"/>
  <c r="M63" i="34"/>
  <c r="B9" i="34"/>
  <c r="AG6" i="34" s="1"/>
  <c r="AP6" i="1"/>
  <c r="AY6" i="1" s="1"/>
  <c r="BB20" i="1"/>
  <c r="AH18" i="1"/>
  <c r="AG18" i="1"/>
  <c r="X18" i="1"/>
  <c r="W18" i="1"/>
  <c r="AH10" i="1"/>
  <c r="AG10" i="1"/>
  <c r="X10" i="1"/>
  <c r="W10" i="1"/>
  <c r="AH8" i="1"/>
  <c r="AG8" i="1"/>
  <c r="X8" i="1"/>
  <c r="W8" i="1"/>
  <c r="AH7" i="1"/>
  <c r="AG7" i="1"/>
  <c r="X7" i="1"/>
  <c r="W7" i="1"/>
  <c r="B134" i="34"/>
  <c r="O134" i="34" s="1"/>
  <c r="L116" i="34"/>
  <c r="P116" i="34" s="1"/>
  <c r="O116" i="34"/>
  <c r="L99" i="34"/>
  <c r="P99" i="34" s="1"/>
  <c r="B99" i="34"/>
  <c r="O99" i="34" s="1"/>
  <c r="M80" i="34"/>
  <c r="M62" i="34"/>
  <c r="B8" i="34"/>
  <c r="AG5" i="34" s="1"/>
  <c r="AE39" i="34"/>
  <c r="AD37" i="34"/>
  <c r="AA22" i="34"/>
  <c r="B175" i="34"/>
  <c r="BF18" i="1"/>
  <c r="BF10" i="1"/>
  <c r="BF8" i="1"/>
  <c r="BF7" i="1"/>
  <c r="BF6" i="1"/>
  <c r="AH78" i="1"/>
  <c r="AG78" i="1"/>
  <c r="X78" i="1"/>
  <c r="W78" i="1"/>
  <c r="AH149" i="1"/>
  <c r="AG149" i="1"/>
  <c r="X149" i="1"/>
  <c r="W149" i="1"/>
  <c r="AH79" i="1"/>
  <c r="AG79" i="1"/>
  <c r="X79" i="1"/>
  <c r="W79" i="1"/>
  <c r="B174" i="34"/>
  <c r="B173" i="34"/>
  <c r="B172" i="34"/>
  <c r="B171" i="34"/>
  <c r="B170" i="34"/>
  <c r="B169" i="34"/>
  <c r="B168" i="34"/>
  <c r="B167" i="34"/>
  <c r="B166" i="34"/>
  <c r="B165" i="34"/>
  <c r="B164" i="34"/>
  <c r="B163" i="34"/>
  <c r="B162" i="34"/>
  <c r="B157" i="34"/>
  <c r="B155" i="34"/>
  <c r="B154" i="34"/>
  <c r="B151" i="34"/>
  <c r="AH145" i="1"/>
  <c r="AG145" i="1"/>
  <c r="AH142" i="1"/>
  <c r="AG142" i="1"/>
  <c r="AH138" i="1"/>
  <c r="AG138" i="1"/>
  <c r="AH132" i="1"/>
  <c r="AG132" i="1"/>
  <c r="AH131" i="1"/>
  <c r="AG131" i="1"/>
  <c r="AH127" i="1"/>
  <c r="AG127" i="1"/>
  <c r="AH126" i="1"/>
  <c r="AG126" i="1"/>
  <c r="AH125" i="1"/>
  <c r="AG125" i="1"/>
  <c r="AH123" i="1"/>
  <c r="AG123" i="1"/>
  <c r="AH122" i="1"/>
  <c r="AG122" i="1"/>
  <c r="AH121" i="1"/>
  <c r="AG121" i="1"/>
  <c r="AH120" i="1"/>
  <c r="AG120" i="1"/>
  <c r="AH119" i="1"/>
  <c r="AG119" i="1"/>
  <c r="AH118" i="1"/>
  <c r="AG118" i="1"/>
  <c r="AH117" i="1"/>
  <c r="AG117" i="1"/>
  <c r="AH116" i="1"/>
  <c r="AG116" i="1"/>
  <c r="AH115" i="1"/>
  <c r="AG115" i="1"/>
  <c r="AH114" i="1"/>
  <c r="AG114" i="1"/>
  <c r="AH113" i="1"/>
  <c r="AG113" i="1"/>
  <c r="AH112" i="1"/>
  <c r="AG112" i="1"/>
  <c r="AH110" i="1"/>
  <c r="AG110" i="1"/>
  <c r="AH108" i="1"/>
  <c r="AG108" i="1"/>
  <c r="AH107" i="1"/>
  <c r="AG107" i="1"/>
  <c r="AH106" i="1"/>
  <c r="AG106" i="1"/>
  <c r="AH105" i="1"/>
  <c r="AG105" i="1"/>
  <c r="AH104" i="1"/>
  <c r="AG104" i="1"/>
  <c r="AH102" i="1"/>
  <c r="AG102" i="1"/>
  <c r="AH100" i="1"/>
  <c r="AG100" i="1"/>
  <c r="AH99" i="1"/>
  <c r="AG99" i="1"/>
  <c r="AH98" i="1"/>
  <c r="AG98" i="1"/>
  <c r="AH97" i="1"/>
  <c r="AG97" i="1"/>
  <c r="AH96" i="1"/>
  <c r="AG96" i="1"/>
  <c r="AH95" i="1"/>
  <c r="AG95" i="1"/>
  <c r="AH94" i="1"/>
  <c r="AG94" i="1"/>
  <c r="AH93" i="1"/>
  <c r="AG93" i="1"/>
  <c r="AH92" i="1"/>
  <c r="AG92" i="1"/>
  <c r="AH91" i="1"/>
  <c r="AG91" i="1"/>
  <c r="AH90" i="1"/>
  <c r="AG90" i="1"/>
  <c r="AH89" i="1"/>
  <c r="AG89" i="1"/>
  <c r="AH88" i="1"/>
  <c r="AG88" i="1"/>
  <c r="AH87" i="1"/>
  <c r="AG87" i="1"/>
  <c r="AH86" i="1"/>
  <c r="AG86" i="1"/>
  <c r="AH85" i="1"/>
  <c r="AG85" i="1"/>
  <c r="AH84" i="1"/>
  <c r="AG84" i="1"/>
  <c r="AH83" i="1"/>
  <c r="AG83" i="1"/>
  <c r="AH82" i="1"/>
  <c r="AG82" i="1"/>
  <c r="AH81" i="1"/>
  <c r="AG81" i="1"/>
  <c r="AH80" i="1"/>
  <c r="AG80" i="1"/>
  <c r="AH77" i="1"/>
  <c r="AG77" i="1"/>
  <c r="AH76" i="1"/>
  <c r="AG76" i="1"/>
  <c r="AH75" i="1"/>
  <c r="AG75" i="1"/>
  <c r="AH74" i="1"/>
  <c r="AG74" i="1"/>
  <c r="AH73" i="1"/>
  <c r="AG73" i="1"/>
  <c r="AH72" i="1"/>
  <c r="AG72" i="1"/>
  <c r="AH71" i="1"/>
  <c r="AG71" i="1"/>
  <c r="AH68" i="1"/>
  <c r="AG68" i="1"/>
  <c r="AH67" i="1"/>
  <c r="AG67" i="1"/>
  <c r="AH66" i="1"/>
  <c r="AG66" i="1"/>
  <c r="AH65" i="1"/>
  <c r="AG65" i="1"/>
  <c r="AH64" i="1"/>
  <c r="AG64" i="1"/>
  <c r="AH63" i="1"/>
  <c r="AG63" i="1"/>
  <c r="AH61" i="1"/>
  <c r="AG61" i="1"/>
  <c r="AH60" i="1"/>
  <c r="AG60" i="1"/>
  <c r="AH59" i="1"/>
  <c r="AG59" i="1"/>
  <c r="AH58" i="1"/>
  <c r="AG58" i="1"/>
  <c r="AH56" i="1"/>
  <c r="AG56" i="1"/>
  <c r="AH55" i="1"/>
  <c r="AG55" i="1"/>
  <c r="AH54" i="1"/>
  <c r="AG54" i="1"/>
  <c r="AH53" i="1"/>
  <c r="AG53" i="1"/>
  <c r="AH52" i="1"/>
  <c r="AG52" i="1"/>
  <c r="AH51" i="1"/>
  <c r="AG51" i="1"/>
  <c r="AH50" i="1"/>
  <c r="AG50" i="1"/>
  <c r="AH49" i="1"/>
  <c r="AG49" i="1"/>
  <c r="AH48" i="1"/>
  <c r="AG48" i="1"/>
  <c r="AH47" i="1"/>
  <c r="AG47" i="1"/>
  <c r="AH46" i="1"/>
  <c r="AG46" i="1"/>
  <c r="AH42" i="1"/>
  <c r="AG42" i="1"/>
  <c r="AH41" i="1"/>
  <c r="AG41" i="1"/>
  <c r="AH33" i="1"/>
  <c r="AG33" i="1"/>
  <c r="AH32" i="1"/>
  <c r="AG32" i="1"/>
  <c r="AH30" i="1"/>
  <c r="AG30" i="1"/>
  <c r="AH29" i="1"/>
  <c r="AG29" i="1"/>
  <c r="AH28" i="1"/>
  <c r="AG28" i="1"/>
  <c r="AH25" i="1"/>
  <c r="AG25" i="1"/>
  <c r="AH24" i="1"/>
  <c r="AG24" i="1"/>
  <c r="AH23" i="1"/>
  <c r="AG23" i="1"/>
  <c r="AH21" i="1"/>
  <c r="AG21" i="1"/>
  <c r="AH20" i="1"/>
  <c r="AG20" i="1"/>
  <c r="AH6" i="1"/>
  <c r="AG6" i="1"/>
  <c r="AH57" i="1"/>
  <c r="AG57" i="1"/>
  <c r="AH44" i="1"/>
  <c r="AG44" i="1"/>
  <c r="AH43" i="1"/>
  <c r="AG43" i="1"/>
  <c r="AH27" i="1"/>
  <c r="AG27" i="1"/>
  <c r="AH19" i="1"/>
  <c r="AG19" i="1"/>
  <c r="B7" i="34"/>
  <c r="B42" i="34" s="1"/>
  <c r="B6" i="34"/>
  <c r="AG3" i="34" s="1"/>
  <c r="B5" i="34"/>
  <c r="B40" i="34" s="1"/>
  <c r="AK37" i="34"/>
  <c r="AJ37" i="34"/>
  <c r="AD42" i="34"/>
  <c r="AD41" i="34"/>
  <c r="AD40" i="34"/>
  <c r="AD39" i="34"/>
  <c r="AD38" i="34"/>
  <c r="AC97" i="34"/>
  <c r="AC96" i="34"/>
  <c r="AC95" i="34"/>
  <c r="B133" i="34"/>
  <c r="O133" i="34" s="1"/>
  <c r="B114" i="34"/>
  <c r="O114" i="34" s="1"/>
  <c r="L132" i="34"/>
  <c r="P132" i="34" s="1"/>
  <c r="AC2" i="34"/>
  <c r="AC3" i="34"/>
  <c r="AC5" i="34"/>
  <c r="AC4" i="34"/>
  <c r="AC6" i="34"/>
  <c r="AD52" i="34"/>
  <c r="AE52" i="34" s="1"/>
  <c r="AA19" i="34"/>
  <c r="AA20" i="34"/>
  <c r="AA21" i="34"/>
  <c r="M61" i="34"/>
  <c r="B60" i="34"/>
  <c r="M60" i="34" s="1"/>
  <c r="B98" i="34"/>
  <c r="O98" i="34" s="1"/>
  <c r="B78" i="34"/>
  <c r="B97" i="34" s="1"/>
  <c r="O97" i="34" s="1"/>
  <c r="E2" i="1"/>
  <c r="O115" i="34"/>
  <c r="M79" i="34"/>
  <c r="L115" i="34"/>
  <c r="P115" i="34" s="1"/>
  <c r="L98" i="34"/>
  <c r="P98" i="34" s="1"/>
  <c r="G64" i="34"/>
  <c r="M9" i="31"/>
  <c r="M33" i="31"/>
  <c r="O43" i="34"/>
  <c r="D29" i="34"/>
  <c r="F41" i="34"/>
  <c r="I23" i="34"/>
  <c r="F28" i="34"/>
  <c r="G25" i="34"/>
  <c r="O28" i="34"/>
  <c r="G43" i="34"/>
  <c r="G44" i="34"/>
  <c r="D28" i="34"/>
  <c r="D25" i="34"/>
  <c r="F9" i="34"/>
  <c r="C11" i="34"/>
  <c r="L11" i="34"/>
  <c r="I8" i="34"/>
  <c r="L5" i="34"/>
  <c r="I133" i="34"/>
  <c r="I136" i="34"/>
  <c r="C136" i="34"/>
  <c r="F44" i="34"/>
  <c r="M5" i="34"/>
  <c r="C64" i="34"/>
  <c r="F7" i="31"/>
  <c r="M30" i="31"/>
  <c r="G28" i="34"/>
  <c r="S40" i="34"/>
  <c r="F27" i="34"/>
  <c r="D27" i="34"/>
  <c r="F46" i="34"/>
  <c r="F23" i="34"/>
  <c r="O27" i="34"/>
  <c r="J28" i="34"/>
  <c r="J24" i="34"/>
  <c r="R40" i="34"/>
  <c r="I44" i="34"/>
  <c r="C9" i="34"/>
  <c r="G6" i="34"/>
  <c r="L10" i="34"/>
  <c r="D7" i="34"/>
  <c r="D5" i="34"/>
  <c r="I137" i="34"/>
  <c r="C137" i="34"/>
  <c r="M9" i="34"/>
  <c r="I97" i="34"/>
  <c r="R44" i="34"/>
  <c r="I134" i="34"/>
  <c r="F9" i="31"/>
  <c r="F10" i="31"/>
  <c r="D78" i="34"/>
  <c r="J23" i="34"/>
  <c r="G26" i="34"/>
  <c r="G24" i="34"/>
  <c r="C28" i="34"/>
  <c r="I46" i="34"/>
  <c r="O44" i="34"/>
  <c r="P43" i="34"/>
  <c r="F24" i="34"/>
  <c r="I26" i="34"/>
  <c r="P45" i="34"/>
  <c r="C23" i="34"/>
  <c r="M7" i="34"/>
  <c r="G10" i="34"/>
  <c r="M6" i="34"/>
  <c r="L9" i="34"/>
  <c r="C133" i="34"/>
  <c r="I27" i="34"/>
  <c r="F10" i="34"/>
  <c r="M7" i="31"/>
  <c r="C60" i="34"/>
  <c r="D63" i="34"/>
  <c r="D26" i="34"/>
  <c r="D24" i="34"/>
  <c r="R43" i="34"/>
  <c r="O45" i="34"/>
  <c r="G29" i="34"/>
  <c r="P28" i="34"/>
  <c r="C29" i="34"/>
  <c r="P29" i="34"/>
  <c r="C25" i="34"/>
  <c r="G41" i="34"/>
  <c r="J25" i="34"/>
  <c r="D11" i="34"/>
  <c r="G5" i="34"/>
  <c r="G7" i="34"/>
  <c r="M8" i="34"/>
  <c r="D8" i="34"/>
  <c r="I100" i="34"/>
  <c r="C97" i="34"/>
  <c r="I28" i="34"/>
  <c r="C5" i="34"/>
  <c r="F8" i="31"/>
  <c r="G78" i="34"/>
  <c r="F12" i="31"/>
  <c r="I29" i="34"/>
  <c r="P26" i="34"/>
  <c r="F25" i="34"/>
  <c r="O41" i="34"/>
  <c r="I24" i="34"/>
  <c r="J27" i="34"/>
  <c r="G27" i="34"/>
  <c r="R41" i="34"/>
  <c r="C24" i="34"/>
  <c r="R42" i="34"/>
  <c r="S44" i="34"/>
  <c r="G9" i="34"/>
  <c r="F7" i="34"/>
  <c r="F6" i="34"/>
  <c r="F8" i="34"/>
  <c r="G11" i="34"/>
  <c r="C8" i="34"/>
  <c r="C114" i="34"/>
  <c r="C100" i="34"/>
  <c r="F45" i="34"/>
  <c r="I114" i="34"/>
  <c r="C78" i="34"/>
  <c r="F11" i="31"/>
  <c r="M31" i="31"/>
  <c r="J26" i="34"/>
  <c r="G42" i="34"/>
  <c r="P27" i="34"/>
  <c r="C26" i="34"/>
  <c r="F26" i="34"/>
  <c r="O29" i="34"/>
  <c r="P41" i="34"/>
  <c r="O26" i="34"/>
  <c r="F43" i="34"/>
  <c r="F42" i="34"/>
  <c r="P44" i="34"/>
  <c r="C6" i="34"/>
  <c r="F11" i="34"/>
  <c r="M11" i="34"/>
  <c r="C10" i="34"/>
  <c r="F5" i="34"/>
  <c r="L6" i="34"/>
  <c r="C102" i="34"/>
  <c r="I101" i="34"/>
  <c r="D10" i="34"/>
  <c r="G8" i="34"/>
  <c r="C134" i="34"/>
  <c r="G45" i="34"/>
  <c r="C101" i="34"/>
  <c r="M8" i="31"/>
  <c r="F64" i="34"/>
  <c r="C63" i="34"/>
  <c r="P40" i="34"/>
  <c r="R45" i="34"/>
  <c r="J29" i="34"/>
  <c r="S41" i="34"/>
  <c r="G23" i="34"/>
  <c r="S42" i="34"/>
  <c r="F29" i="34"/>
  <c r="S43" i="34"/>
  <c r="J44" i="34"/>
  <c r="S45" i="34"/>
  <c r="I25" i="34"/>
  <c r="J8" i="34"/>
  <c r="D9" i="34"/>
  <c r="C7" i="34"/>
  <c r="L7" i="34"/>
  <c r="I102" i="34"/>
  <c r="J46" i="34"/>
  <c r="L8" i="34"/>
  <c r="M32" i="31"/>
  <c r="F78" i="34"/>
  <c r="C65" i="34"/>
  <c r="G46" i="34"/>
  <c r="D23" i="34"/>
  <c r="C27" i="34"/>
  <c r="O40" i="34"/>
  <c r="M10" i="34"/>
  <c r="G197" i="34" l="1"/>
  <c r="H197" i="34"/>
  <c r="I197" i="34" s="1"/>
  <c r="M197" i="34"/>
  <c r="C125" i="34"/>
  <c r="I143" i="34"/>
  <c r="I125" i="34"/>
  <c r="C143" i="34"/>
  <c r="I171" i="34"/>
  <c r="I163" i="34"/>
  <c r="C108" i="34"/>
  <c r="I108" i="34"/>
  <c r="F89" i="34"/>
  <c r="G89" i="34"/>
  <c r="C89" i="34"/>
  <c r="D89" i="34"/>
  <c r="C71" i="34"/>
  <c r="F71" i="34"/>
  <c r="G71" i="34"/>
  <c r="D71" i="34"/>
  <c r="P52" i="34"/>
  <c r="AE41" i="34" s="1"/>
  <c r="O52" i="34"/>
  <c r="G52" i="34"/>
  <c r="AE38" i="34" s="1"/>
  <c r="F52" i="34"/>
  <c r="I52" i="34"/>
  <c r="R52" i="34"/>
  <c r="J52" i="34"/>
  <c r="AE40" i="34" s="1"/>
  <c r="S52" i="34"/>
  <c r="AE42" i="34" s="1"/>
  <c r="G35" i="34"/>
  <c r="AB20" i="34" s="1"/>
  <c r="C35" i="34"/>
  <c r="AE19" i="34" s="1"/>
  <c r="F35" i="34"/>
  <c r="AE20" i="34" s="1"/>
  <c r="D35" i="34"/>
  <c r="AB19" i="34" s="1"/>
  <c r="J35" i="34"/>
  <c r="AB21" i="34" s="1"/>
  <c r="I35" i="34"/>
  <c r="AE21" i="34" s="1"/>
  <c r="G17" i="34"/>
  <c r="AD3" i="34" s="1"/>
  <c r="M17" i="34"/>
  <c r="AD5" i="34" s="1"/>
  <c r="F17" i="34"/>
  <c r="I17" i="34"/>
  <c r="C17" i="34"/>
  <c r="J17" i="34"/>
  <c r="AD4" i="34" s="1"/>
  <c r="D17" i="34"/>
  <c r="AD2" i="34" s="1"/>
  <c r="L17" i="34"/>
  <c r="BB18" i="1"/>
  <c r="I162" i="34"/>
  <c r="I165" i="34"/>
  <c r="I169" i="34"/>
  <c r="F197" i="34"/>
  <c r="I174" i="34"/>
  <c r="I170" i="34"/>
  <c r="I168" i="34"/>
  <c r="I167" i="34"/>
  <c r="I172" i="34"/>
  <c r="I164" i="34"/>
  <c r="AI42" i="34"/>
  <c r="AI43" i="34"/>
  <c r="I173" i="34"/>
  <c r="I166" i="34"/>
  <c r="F151" i="34"/>
  <c r="AG8" i="34"/>
  <c r="B41" i="34"/>
  <c r="AG7" i="34"/>
  <c r="B132" i="34"/>
  <c r="O132" i="34" s="1"/>
  <c r="AJ43" i="34"/>
  <c r="J63" i="34"/>
  <c r="E63" i="34"/>
  <c r="N63" i="34" s="1"/>
  <c r="F134" i="34"/>
  <c r="L134" i="34"/>
  <c r="P134" i="34" s="1"/>
  <c r="AJ42" i="34"/>
  <c r="AK40" i="34"/>
  <c r="L27" i="34"/>
  <c r="AJ41" i="34"/>
  <c r="AK39" i="34"/>
  <c r="AK43" i="34"/>
  <c r="I60" i="34"/>
  <c r="L101" i="34"/>
  <c r="P101" i="34" s="1"/>
  <c r="F101" i="34"/>
  <c r="L102" i="34"/>
  <c r="P102" i="34" s="1"/>
  <c r="F102" i="34"/>
  <c r="L133" i="34"/>
  <c r="P133" i="34" s="1"/>
  <c r="F133" i="34"/>
  <c r="I65" i="34"/>
  <c r="K65" i="34" s="1"/>
  <c r="E65" i="34"/>
  <c r="N65" i="34" s="1"/>
  <c r="AJ40" i="34"/>
  <c r="AK38" i="34"/>
  <c r="E60" i="34"/>
  <c r="N60" i="34" s="1"/>
  <c r="J60" i="34"/>
  <c r="H78" i="34"/>
  <c r="L100" i="34"/>
  <c r="P100" i="34" s="1"/>
  <c r="F100" i="34"/>
  <c r="L114" i="34"/>
  <c r="P114" i="34" s="1"/>
  <c r="F114" i="34"/>
  <c r="F125" i="34" s="1"/>
  <c r="AK41" i="34"/>
  <c r="M29" i="34"/>
  <c r="AJ39" i="34"/>
  <c r="J78" i="34"/>
  <c r="J89" i="34" s="1"/>
  <c r="E78" i="34"/>
  <c r="N78" i="34" s="1"/>
  <c r="F97" i="34"/>
  <c r="L97" i="34"/>
  <c r="P97" i="34" s="1"/>
  <c r="L28" i="34"/>
  <c r="M28" i="34"/>
  <c r="AJ38" i="34"/>
  <c r="I64" i="34"/>
  <c r="H64" i="34"/>
  <c r="I78" i="34"/>
  <c r="I89" i="34" s="1"/>
  <c r="F136" i="34"/>
  <c r="L136" i="34"/>
  <c r="P136" i="34" s="1"/>
  <c r="M27" i="34"/>
  <c r="E64" i="34"/>
  <c r="N64" i="34" s="1"/>
  <c r="J64" i="34"/>
  <c r="L137" i="34"/>
  <c r="P137" i="34" s="1"/>
  <c r="F137" i="34"/>
  <c r="L26" i="34"/>
  <c r="M26" i="34"/>
  <c r="AK42" i="34"/>
  <c r="I63" i="34"/>
  <c r="L29" i="34"/>
  <c r="M78" i="34"/>
  <c r="B44" i="34"/>
  <c r="AG2" i="34"/>
  <c r="AG4" i="34"/>
  <c r="AI37" i="34"/>
  <c r="B43" i="34"/>
  <c r="O10" i="34"/>
  <c r="P10" i="34"/>
  <c r="P7" i="34"/>
  <c r="P5" i="34"/>
  <c r="O11" i="34"/>
  <c r="O8" i="34"/>
  <c r="P11" i="34"/>
  <c r="P8" i="34"/>
  <c r="O7" i="34"/>
  <c r="O9" i="34"/>
  <c r="P6" i="34"/>
  <c r="O6" i="34"/>
  <c r="P9" i="34"/>
  <c r="O5" i="34"/>
  <c r="AI39" i="34"/>
  <c r="BB8" i="1"/>
  <c r="BB10" i="1"/>
  <c r="F143" i="34" l="1"/>
  <c r="F108" i="34"/>
  <c r="AE95" i="34" s="1"/>
  <c r="J71" i="34"/>
  <c r="I71" i="34"/>
  <c r="O17" i="34"/>
  <c r="P17" i="34"/>
  <c r="AD6" i="34" s="1"/>
  <c r="AE6" i="34" s="1"/>
  <c r="K89" i="34"/>
  <c r="I91" i="34" s="1"/>
  <c r="H89" i="34"/>
  <c r="F91" i="34" s="1"/>
  <c r="AI40" i="34"/>
  <c r="AI41" i="34"/>
  <c r="AE96" i="34"/>
  <c r="E71" i="34"/>
  <c r="C73" i="34" s="1"/>
  <c r="H71" i="34"/>
  <c r="F73" i="34" s="1"/>
  <c r="K64" i="34"/>
  <c r="AI38" i="34"/>
  <c r="E89" i="34"/>
  <c r="C91" i="34" s="1"/>
  <c r="K78" i="34"/>
  <c r="L125" i="34"/>
  <c r="C127" i="34" s="1"/>
  <c r="AD96" i="34"/>
  <c r="AD95" i="34"/>
  <c r="L108" i="34"/>
  <c r="C110" i="34" s="1"/>
  <c r="K60" i="34"/>
  <c r="K63" i="34"/>
  <c r="C41" i="34"/>
  <c r="AH3" i="34"/>
  <c r="O24" i="34"/>
  <c r="L24" i="34" s="1"/>
  <c r="C42" i="34"/>
  <c r="AH4" i="34"/>
  <c r="O25" i="34"/>
  <c r="L25" i="34" s="1"/>
  <c r="C46" i="34"/>
  <c r="AH8" i="34"/>
  <c r="P24" i="34"/>
  <c r="M24" i="34" s="1"/>
  <c r="AI3" i="34"/>
  <c r="D41" i="34"/>
  <c r="D40" i="34"/>
  <c r="P23" i="34"/>
  <c r="AI2" i="34"/>
  <c r="C45" i="34"/>
  <c r="AH7" i="34"/>
  <c r="AH6" i="34"/>
  <c r="C44" i="34"/>
  <c r="AI5" i="34"/>
  <c r="D43" i="34"/>
  <c r="D42" i="34"/>
  <c r="AI4" i="34"/>
  <c r="P25" i="34"/>
  <c r="M25" i="34" s="1"/>
  <c r="AI6" i="34"/>
  <c r="D44" i="34"/>
  <c r="D45" i="34"/>
  <c r="AI7" i="34"/>
  <c r="C40" i="34"/>
  <c r="AH2" i="34"/>
  <c r="O23" i="34"/>
  <c r="AI8" i="34"/>
  <c r="D46" i="34"/>
  <c r="C43" i="34"/>
  <c r="AH5" i="34"/>
  <c r="AE97" i="34" l="1"/>
  <c r="AE98" i="34" s="1"/>
  <c r="O35" i="34"/>
  <c r="P35" i="34"/>
  <c r="D52" i="34"/>
  <c r="AE37" i="34" s="1"/>
  <c r="C52" i="34"/>
  <c r="AF96" i="34"/>
  <c r="AG96" i="34" s="1"/>
  <c r="K71" i="34"/>
  <c r="I73" i="34" s="1"/>
  <c r="AF95" i="34"/>
  <c r="AE3" i="34"/>
  <c r="M23" i="34"/>
  <c r="M35" i="34" s="1"/>
  <c r="AE4" i="34"/>
  <c r="AE2" i="34"/>
  <c r="L23" i="34"/>
  <c r="L35" i="34" s="1"/>
  <c r="AE5" i="34"/>
  <c r="AE22" i="34" l="1"/>
  <c r="AB22" i="34"/>
  <c r="AB23" i="34" s="1"/>
  <c r="AC22" i="34" s="1"/>
  <c r="AG95" i="34"/>
  <c r="AF39" i="34"/>
  <c r="AF38" i="34"/>
  <c r="AF42" i="34"/>
  <c r="AF41" i="34"/>
  <c r="AF40" i="34"/>
  <c r="L143" i="34" l="1"/>
  <c r="C145" i="34" s="1"/>
  <c r="AD97" i="34"/>
  <c r="AE23" i="34"/>
  <c r="AF21" i="34" s="1"/>
  <c r="AF37" i="34"/>
  <c r="AC19" i="34"/>
  <c r="AC20" i="34"/>
  <c r="AC21" i="34"/>
  <c r="AD98" i="34" l="1"/>
  <c r="AF97" i="34"/>
  <c r="AF22" i="34"/>
  <c r="AF19" i="34"/>
  <c r="AF20" i="34"/>
  <c r="AD19" i="34"/>
  <c r="AG97" i="34" l="1"/>
  <c r="AF98" i="34"/>
  <c r="AG98" i="34" s="1"/>
  <c r="AG19" i="34"/>
  <c r="B5" i="1"/>
  <c r="B6" i="1" s="1"/>
  <c r="B7" i="1" s="1"/>
  <c r="B8" i="1" s="1"/>
  <c r="B9" i="1" s="1"/>
  <c r="B10" i="1" s="1"/>
  <c r="B11" i="1" s="1"/>
  <c r="B12" i="1" s="1"/>
  <c r="B13" i="1" s="1"/>
  <c r="B14" i="1" s="1"/>
  <c r="B15" i="1" s="1"/>
  <c r="B16" i="1" s="1"/>
  <c r="B17" i="1" s="1"/>
  <c r="B18"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B100" i="1" s="1"/>
  <c r="B101" i="1" s="1"/>
  <c r="B102" i="1" s="1"/>
  <c r="B103" i="1" s="1"/>
  <c r="B104" i="1" s="1"/>
  <c r="B105" i="1" s="1"/>
  <c r="B106" i="1" s="1"/>
  <c r="B107" i="1" s="1"/>
  <c r="B108" i="1" s="1"/>
  <c r="B109" i="1" s="1"/>
  <c r="B110" i="1" s="1"/>
  <c r="B111" i="1" s="1"/>
  <c r="B112" i="1" s="1"/>
  <c r="B113" i="1" s="1"/>
  <c r="B114" i="1" s="1"/>
  <c r="B115" i="1" s="1"/>
  <c r="B116" i="1" s="1"/>
  <c r="B117" i="1" s="1"/>
  <c r="B118" i="1" s="1"/>
  <c r="B119" i="1" s="1"/>
  <c r="B120" i="1" s="1"/>
  <c r="B121" i="1" s="1"/>
  <c r="B122" i="1" s="1"/>
  <c r="B123" i="1" s="1"/>
  <c r="B124" i="1" s="1"/>
  <c r="B125" i="1" s="1"/>
  <c r="B126" i="1" s="1"/>
  <c r="B127" i="1" s="1"/>
  <c r="B128" i="1" s="1"/>
  <c r="B129" i="1" s="1"/>
  <c r="B130" i="1" s="1"/>
  <c r="B131" i="1" s="1"/>
  <c r="B132" i="1" s="1"/>
  <c r="B133" i="1" s="1"/>
  <c r="B134" i="1" s="1"/>
  <c r="B135" i="1" s="1"/>
  <c r="B136" i="1" s="1"/>
  <c r="B137" i="1" s="1"/>
  <c r="B138" i="1" s="1"/>
  <c r="B139" i="1" s="1"/>
  <c r="B140" i="1" s="1"/>
  <c r="B141" i="1" s="1"/>
  <c r="B142" i="1" s="1"/>
  <c r="B143" i="1" s="1"/>
  <c r="B144" i="1" s="1"/>
  <c r="B145" i="1" s="1"/>
  <c r="B146" i="1" s="1"/>
  <c r="B147" i="1" s="1"/>
  <c r="B148" i="1" s="1"/>
  <c r="B149" i="1" s="1"/>
  <c r="B150" i="1" s="1"/>
  <c r="B151" i="1" s="1"/>
  <c r="B152" i="1" s="1"/>
  <c r="B153" i="1" s="1"/>
  <c r="B154" i="1" s="1"/>
  <c r="B155" i="1" s="1"/>
  <c r="B156" i="1" s="1"/>
  <c r="B157" i="1" s="1"/>
  <c r="B158" i="1" s="1"/>
  <c r="B159" i="1" s="1"/>
  <c r="B160" i="1" s="1"/>
  <c r="B161" i="1" s="1"/>
  <c r="B162" i="1" s="1"/>
  <c r="B163" i="1" s="1"/>
  <c r="B164" i="1" s="1"/>
  <c r="B165" i="1" s="1"/>
  <c r="B166" i="1" s="1"/>
  <c r="B167" i="1" s="1"/>
  <c r="B168" i="1" s="1"/>
  <c r="B169" i="1" s="1"/>
  <c r="B170" i="1" s="1"/>
  <c r="B171" i="1" s="1"/>
  <c r="B172" i="1" s="1"/>
  <c r="B173" i="1" s="1"/>
  <c r="B174" i="1" s="1"/>
  <c r="B175" i="1" s="1"/>
  <c r="B176" i="1" s="1"/>
  <c r="B177" i="1" s="1"/>
  <c r="B178" i="1" s="1"/>
  <c r="B179" i="1" s="1"/>
  <c r="B180" i="1" s="1"/>
  <c r="B181" i="1" s="1"/>
  <c r="B182" i="1" s="1"/>
  <c r="B183" i="1" s="1"/>
  <c r="B184" i="1" s="1"/>
  <c r="B185" i="1" s="1"/>
  <c r="B186" i="1" s="1"/>
  <c r="B187" i="1" s="1"/>
  <c r="B188" i="1" s="1"/>
  <c r="B189" i="1" s="1"/>
  <c r="B190" i="1" s="1"/>
  <c r="B191" i="1" s="1"/>
  <c r="B192" i="1" s="1"/>
  <c r="B193" i="1" s="1"/>
  <c r="B194" i="1" s="1"/>
  <c r="B195" i="1" s="1"/>
  <c r="B196" i="1" s="1"/>
  <c r="B197" i="1" s="1"/>
  <c r="B198" i="1" s="1"/>
  <c r="B199" i="1" s="1"/>
  <c r="B200" i="1" s="1"/>
  <c r="B201" i="1" s="1"/>
  <c r="B202" i="1" s="1"/>
  <c r="B203" i="1" s="1"/>
  <c r="B204" i="1" s="1"/>
  <c r="B205" i="1" s="1"/>
  <c r="B206" i="1" s="1"/>
  <c r="B207" i="1" s="1"/>
  <c r="B208" i="1" s="1"/>
  <c r="B209" i="1" s="1"/>
  <c r="B210" i="1" s="1"/>
  <c r="B211" i="1" s="1"/>
  <c r="B212" i="1" s="1"/>
  <c r="B213" i="1" s="1"/>
  <c r="B214" i="1" s="1"/>
  <c r="B215" i="1" s="1"/>
  <c r="B216" i="1" s="1"/>
  <c r="B217" i="1" s="1"/>
  <c r="B218" i="1" s="1"/>
  <c r="B219" i="1" s="1"/>
  <c r="B220" i="1" s="1"/>
  <c r="B221" i="1" s="1"/>
  <c r="B222" i="1" s="1"/>
  <c r="B223" i="1" s="1"/>
  <c r="B224" i="1" s="1"/>
  <c r="B225" i="1" s="1"/>
  <c r="B226" i="1" s="1"/>
  <c r="B227" i="1" s="1"/>
  <c r="B228" i="1" s="1"/>
  <c r="B229" i="1" s="1"/>
  <c r="B230" i="1" s="1"/>
  <c r="B231" i="1" s="1"/>
  <c r="B232" i="1" s="1"/>
  <c r="B233" i="1" s="1"/>
  <c r="B234" i="1" s="1"/>
  <c r="B235" i="1" s="1"/>
  <c r="B236" i="1" s="1"/>
  <c r="B237" i="1" s="1"/>
  <c r="B238" i="1" s="1"/>
  <c r="B239" i="1" s="1"/>
  <c r="B240" i="1" s="1"/>
  <c r="B241" i="1" s="1"/>
  <c r="B242" i="1" s="1"/>
  <c r="B243" i="1" s="1"/>
  <c r="B244" i="1" s="1"/>
  <c r="B245" i="1" s="1"/>
  <c r="B246" i="1" s="1"/>
  <c r="B247" i="1" s="1"/>
  <c r="B248" i="1" s="1"/>
  <c r="B249" i="1" s="1"/>
  <c r="B250" i="1" s="1"/>
  <c r="B251" i="1" s="1"/>
  <c r="B252" i="1" s="1"/>
  <c r="B253" i="1" s="1"/>
  <c r="B254" i="1" s="1"/>
  <c r="B255" i="1" s="1"/>
  <c r="B256" i="1" s="1"/>
  <c r="B257" i="1" s="1"/>
  <c r="B258" i="1" s="1"/>
  <c r="B259" i="1" s="1"/>
  <c r="B260" i="1" s="1"/>
  <c r="B261" i="1" s="1"/>
  <c r="B262" i="1" s="1"/>
  <c r="B263" i="1" s="1"/>
  <c r="B264" i="1" s="1"/>
  <c r="B265" i="1" s="1"/>
  <c r="B266" i="1" s="1"/>
  <c r="B267" i="1" s="1"/>
  <c r="B268" i="1" s="1"/>
  <c r="B269" i="1" s="1"/>
  <c r="B270" i="1" s="1"/>
  <c r="B271" i="1" s="1"/>
  <c r="B272" i="1" s="1"/>
  <c r="B273" i="1" s="1"/>
  <c r="B274" i="1" s="1"/>
  <c r="B275" i="1" s="1"/>
  <c r="B276" i="1" s="1"/>
  <c r="B277" i="1" s="1"/>
  <c r="B278" i="1" s="1"/>
  <c r="B279" i="1" s="1"/>
  <c r="B280" i="1" s="1"/>
  <c r="B281" i="1" s="1"/>
  <c r="B282" i="1" s="1"/>
  <c r="B283" i="1" s="1"/>
  <c r="B284" i="1" s="1"/>
  <c r="B285" i="1" s="1"/>
  <c r="B286" i="1" s="1"/>
  <c r="B287" i="1" s="1"/>
  <c r="B288" i="1" s="1"/>
  <c r="B289" i="1" s="1"/>
  <c r="B290" i="1" s="1"/>
  <c r="B291" i="1" s="1"/>
  <c r="B292" i="1" s="1"/>
  <c r="B293" i="1" s="1"/>
  <c r="B294" i="1" s="1"/>
  <c r="B295" i="1" s="1"/>
  <c r="B296" i="1" s="1"/>
  <c r="B297" i="1" s="1"/>
  <c r="B298" i="1" s="1"/>
  <c r="B299" i="1" s="1"/>
  <c r="B300" i="1" s="1"/>
  <c r="B301" i="1" s="1"/>
  <c r="B302" i="1" s="1"/>
  <c r="B303" i="1" s="1"/>
  <c r="B304" i="1" s="1"/>
  <c r="B305" i="1" s="1"/>
  <c r="B306" i="1" s="1"/>
  <c r="B307" i="1" s="1"/>
  <c r="B308" i="1" s="1"/>
  <c r="B309" i="1" s="1"/>
  <c r="B310" i="1" s="1"/>
  <c r="B311" i="1" s="1"/>
  <c r="B312" i="1" s="1"/>
  <c r="B313" i="1" s="1"/>
  <c r="B314" i="1" s="1"/>
  <c r="B315" i="1" s="1"/>
  <c r="B316" i="1" s="1"/>
  <c r="B317" i="1" s="1"/>
  <c r="B318" i="1" s="1"/>
  <c r="B319" i="1" s="1"/>
  <c r="B320" i="1" s="1"/>
  <c r="B321" i="1" s="1"/>
  <c r="B322" i="1" s="1"/>
  <c r="B323" i="1" s="1"/>
  <c r="B324" i="1" s="1"/>
  <c r="B325" i="1" s="1"/>
  <c r="B326" i="1" s="1"/>
  <c r="B327" i="1" s="1"/>
  <c r="B328" i="1" s="1"/>
  <c r="B329" i="1" s="1"/>
  <c r="B330" i="1" s="1"/>
  <c r="B331" i="1" s="1"/>
  <c r="B332" i="1" s="1"/>
  <c r="B333" i="1" s="1"/>
  <c r="B334" i="1" s="1"/>
  <c r="B335" i="1" s="1"/>
  <c r="B336" i="1" s="1"/>
  <c r="B337" i="1" s="1"/>
  <c r="B338" i="1" s="1"/>
  <c r="B339" i="1" s="1"/>
  <c r="B340" i="1" s="1"/>
  <c r="B341" i="1" s="1"/>
  <c r="B342" i="1" s="1"/>
  <c r="B343" i="1" s="1"/>
  <c r="B344" i="1" s="1"/>
  <c r="B345" i="1" s="1"/>
  <c r="B346" i="1" s="1"/>
  <c r="B347" i="1" s="1"/>
  <c r="B348" i="1" s="1"/>
  <c r="B349" i="1" s="1"/>
  <c r="B350" i="1" s="1"/>
  <c r="B351" i="1" s="1"/>
  <c r="B352" i="1" s="1"/>
  <c r="B353" i="1" s="1"/>
  <c r="B354" i="1" s="1"/>
  <c r="B355" i="1" s="1"/>
  <c r="B356" i="1" s="1"/>
  <c r="B357" i="1" s="1"/>
  <c r="B358" i="1" s="1"/>
  <c r="B359" i="1" s="1"/>
  <c r="B360" i="1" s="1"/>
  <c r="B361" i="1" s="1"/>
  <c r="B362" i="1" s="1"/>
  <c r="B363" i="1" s="1"/>
  <c r="B364" i="1" s="1"/>
  <c r="B365" i="1" s="1"/>
  <c r="B366" i="1" s="1"/>
  <c r="B367" i="1" s="1"/>
  <c r="B368" i="1" s="1"/>
  <c r="B369" i="1" s="1"/>
  <c r="B370" i="1" s="1"/>
  <c r="B371" i="1" s="1"/>
  <c r="B372" i="1" s="1"/>
  <c r="B373" i="1" s="1"/>
  <c r="B374" i="1" s="1"/>
  <c r="B375" i="1" s="1"/>
  <c r="B376" i="1" s="1"/>
  <c r="B377" i="1" s="1"/>
  <c r="B378" i="1" s="1"/>
  <c r="B379" i="1" s="1"/>
  <c r="B380" i="1" s="1"/>
  <c r="B381" i="1" s="1"/>
  <c r="B382" i="1" s="1"/>
  <c r="B383" i="1" s="1"/>
  <c r="B384" i="1" s="1"/>
  <c r="B385" i="1" s="1"/>
  <c r="B386" i="1" s="1"/>
  <c r="B387" i="1" s="1"/>
  <c r="B388" i="1" s="1"/>
  <c r="B389" i="1" s="1"/>
  <c r="B390" i="1" s="1"/>
  <c r="B391" i="1" s="1"/>
  <c r="B392" i="1" s="1"/>
  <c r="B393" i="1" s="1"/>
  <c r="B394" i="1" s="1"/>
  <c r="B395" i="1" s="1"/>
  <c r="B396" i="1" s="1"/>
  <c r="B397" i="1" s="1"/>
  <c r="B398" i="1" s="1"/>
  <c r="B399" i="1" s="1"/>
  <c r="B400" i="1" s="1"/>
  <c r="B401" i="1" s="1"/>
  <c r="B402" i="1" s="1"/>
  <c r="B403" i="1" s="1"/>
  <c r="B404" i="1" s="1"/>
  <c r="B405" i="1" s="1"/>
  <c r="B406" i="1" s="1"/>
  <c r="B407" i="1" s="1"/>
  <c r="B408" i="1" s="1"/>
  <c r="B409" i="1" s="1"/>
  <c r="B410" i="1" s="1"/>
  <c r="B411" i="1" s="1"/>
  <c r="B412" i="1" s="1"/>
  <c r="B413" i="1" s="1"/>
  <c r="B414" i="1" s="1"/>
  <c r="B415" i="1" s="1"/>
  <c r="B416" i="1" s="1"/>
  <c r="B417" i="1" s="1"/>
  <c r="B418" i="1" s="1"/>
  <c r="B419" i="1" s="1"/>
  <c r="B420" i="1" s="1"/>
  <c r="B421" i="1" s="1"/>
  <c r="B422" i="1" s="1"/>
  <c r="B423" i="1" s="1"/>
  <c r="B424" i="1" s="1"/>
  <c r="B425" i="1" s="1"/>
  <c r="B426" i="1" s="1"/>
  <c r="B427" i="1" s="1"/>
  <c r="B428" i="1" s="1"/>
  <c r="B429" i="1" s="1"/>
  <c r="B430" i="1" s="1"/>
  <c r="B431" i="1" s="1"/>
  <c r="B432" i="1" s="1"/>
  <c r="B433" i="1" s="1"/>
  <c r="B434" i="1" s="1"/>
  <c r="B435" i="1" s="1"/>
  <c r="B436" i="1" s="1"/>
  <c r="B437" i="1" s="1"/>
  <c r="B438" i="1" s="1"/>
  <c r="B439" i="1" s="1"/>
  <c r="B440" i="1" s="1"/>
  <c r="B441" i="1" s="1"/>
  <c r="B442" i="1" s="1"/>
  <c r="B443" i="1" s="1"/>
  <c r="B444" i="1" s="1"/>
  <c r="B445" i="1" s="1"/>
  <c r="B446" i="1" s="1"/>
  <c r="B447" i="1" s="1"/>
  <c r="B448" i="1" s="1"/>
  <c r="B449" i="1" s="1"/>
  <c r="B450" i="1" s="1"/>
  <c r="B451" i="1" s="1"/>
  <c r="B452" i="1" s="1"/>
  <c r="B453" i="1" s="1"/>
  <c r="B454" i="1" s="1"/>
  <c r="B455" i="1" s="1"/>
  <c r="B456" i="1" s="1"/>
  <c r="B457" i="1" s="1"/>
  <c r="B458" i="1" s="1"/>
  <c r="B459" i="1" s="1"/>
  <c r="B460" i="1" s="1"/>
  <c r="B461" i="1" s="1"/>
  <c r="B462" i="1" s="1"/>
  <c r="B463" i="1" s="1"/>
  <c r="B464" i="1" s="1"/>
  <c r="B465" i="1" s="1"/>
  <c r="B466" i="1" s="1"/>
  <c r="B467" i="1" s="1"/>
  <c r="B468" i="1" s="1"/>
  <c r="B469" i="1" s="1"/>
  <c r="B470" i="1" s="1"/>
  <c r="B471" i="1" s="1"/>
  <c r="B472" i="1" s="1"/>
  <c r="B473" i="1" s="1"/>
  <c r="B474" i="1" s="1"/>
  <c r="B475" i="1" s="1"/>
  <c r="B476" i="1" s="1"/>
  <c r="B477" i="1" s="1"/>
  <c r="B478" i="1" s="1"/>
  <c r="B479" i="1" s="1"/>
  <c r="B480" i="1" s="1"/>
  <c r="B481" i="1" s="1"/>
  <c r="B482" i="1" s="1"/>
  <c r="B483" i="1" s="1"/>
  <c r="B484" i="1" s="1"/>
  <c r="B485" i="1" s="1"/>
  <c r="B486" i="1" s="1"/>
  <c r="B487" i="1" s="1"/>
  <c r="B488" i="1" s="1"/>
  <c r="B489" i="1" s="1"/>
  <c r="B490" i="1" s="1"/>
  <c r="B491" i="1" s="1"/>
  <c r="B492" i="1" s="1"/>
  <c r="B493" i="1" s="1"/>
  <c r="B494" i="1" s="1"/>
  <c r="B495" i="1" s="1"/>
  <c r="B496" i="1" s="1"/>
  <c r="B497" i="1" s="1"/>
  <c r="B498" i="1" s="1"/>
  <c r="B499" i="1" s="1"/>
  <c r="B500" i="1" s="1"/>
  <c r="B501" i="1" s="1"/>
  <c r="B502" i="1" s="1"/>
  <c r="B503" i="1" s="1"/>
  <c r="B504" i="1" s="1"/>
  <c r="B505" i="1" s="1"/>
  <c r="B506" i="1" s="1"/>
  <c r="B507" i="1" s="1"/>
  <c r="B508" i="1" s="1"/>
  <c r="B509" i="1" s="1"/>
  <c r="B510" i="1" s="1"/>
  <c r="B511" i="1" s="1"/>
  <c r="B512" i="1" s="1"/>
  <c r="B513" i="1" s="1"/>
  <c r="B514" i="1" s="1"/>
  <c r="B515" i="1" s="1"/>
  <c r="B516" i="1" s="1"/>
  <c r="B517" i="1" s="1"/>
  <c r="B518" i="1" s="1"/>
  <c r="B519" i="1" s="1"/>
  <c r="B520" i="1" s="1"/>
  <c r="B521" i="1" s="1"/>
  <c r="B522" i="1" s="1"/>
  <c r="B523" i="1" s="1"/>
  <c r="B524" i="1" s="1"/>
  <c r="B525" i="1" s="1"/>
  <c r="B526" i="1" s="1"/>
  <c r="B527" i="1" s="1"/>
  <c r="B528" i="1" s="1"/>
  <c r="B529" i="1" s="1"/>
  <c r="B530" i="1" s="1"/>
  <c r="B531" i="1" s="1"/>
  <c r="B532" i="1" s="1"/>
  <c r="B533" i="1" s="1"/>
  <c r="B534" i="1" s="1"/>
  <c r="B535" i="1" s="1"/>
  <c r="B536" i="1" s="1"/>
  <c r="B537" i="1" s="1"/>
  <c r="B538" i="1" s="1"/>
  <c r="B539" i="1" s="1"/>
  <c r="B540" i="1" s="1"/>
  <c r="B541" i="1" s="1"/>
  <c r="B542" i="1" s="1"/>
  <c r="B543" i="1" s="1"/>
  <c r="B544" i="1" s="1"/>
  <c r="B545" i="1" s="1"/>
  <c r="B546" i="1" s="1"/>
  <c r="B547" i="1" s="1"/>
  <c r="B548" i="1" s="1"/>
  <c r="B549" i="1" s="1"/>
  <c r="B550" i="1" s="1"/>
  <c r="B551" i="1" s="1"/>
  <c r="B552" i="1" s="1"/>
  <c r="B553" i="1" s="1"/>
  <c r="B554" i="1" s="1"/>
  <c r="B555" i="1" s="1"/>
  <c r="B556" i="1" s="1"/>
  <c r="B557" i="1" s="1"/>
  <c r="B558" i="1" s="1"/>
  <c r="B559" i="1" s="1"/>
  <c r="B560" i="1" s="1"/>
  <c r="B561" i="1" s="1"/>
  <c r="B562" i="1" s="1"/>
  <c r="B563" i="1" s="1"/>
  <c r="B564" i="1" s="1"/>
  <c r="B565" i="1" s="1"/>
  <c r="B566" i="1" s="1"/>
  <c r="B567" i="1" s="1"/>
  <c r="B568" i="1" s="1"/>
  <c r="B569" i="1" s="1"/>
  <c r="B570" i="1" s="1"/>
  <c r="B571" i="1" s="1"/>
  <c r="B572" i="1" s="1"/>
  <c r="B573" i="1" s="1"/>
  <c r="B574" i="1" s="1"/>
  <c r="B575" i="1" s="1"/>
  <c r="B576" i="1" s="1"/>
  <c r="B577" i="1" s="1"/>
  <c r="B578" i="1" s="1"/>
  <c r="B579" i="1" s="1"/>
  <c r="B580" i="1" s="1"/>
  <c r="B581" i="1" s="1"/>
  <c r="B582" i="1" s="1"/>
  <c r="B583" i="1" s="1"/>
  <c r="B584" i="1" s="1"/>
  <c r="B585" i="1" s="1"/>
  <c r="B586" i="1" s="1"/>
  <c r="B587" i="1" s="1"/>
  <c r="B588" i="1" s="1"/>
  <c r="B589" i="1" s="1"/>
  <c r="B590" i="1" s="1"/>
  <c r="B591" i="1" s="1"/>
  <c r="B592" i="1" s="1"/>
  <c r="B593" i="1" s="1"/>
  <c r="B594" i="1" s="1"/>
  <c r="B595" i="1" s="1"/>
  <c r="B596" i="1" s="1"/>
  <c r="B597" i="1" s="1"/>
  <c r="B598" i="1" s="1"/>
  <c r="B599" i="1" s="1"/>
  <c r="B600" i="1" s="1"/>
  <c r="B601" i="1" s="1"/>
  <c r="B602" i="1" s="1"/>
  <c r="B603" i="1" s="1"/>
  <c r="B604" i="1" s="1"/>
  <c r="B605" i="1" s="1"/>
  <c r="B606" i="1" s="1"/>
  <c r="B607" i="1" s="1"/>
  <c r="B608" i="1" s="1"/>
  <c r="B609" i="1" s="1"/>
  <c r="B610" i="1" s="1"/>
  <c r="B611" i="1" s="1"/>
  <c r="B612" i="1" s="1"/>
  <c r="B613" i="1" s="1"/>
  <c r="B614" i="1" s="1"/>
  <c r="B615" i="1" s="1"/>
  <c r="B616" i="1" s="1"/>
  <c r="B617" i="1" s="1"/>
  <c r="B618" i="1" s="1"/>
  <c r="B619" i="1" s="1"/>
  <c r="B620" i="1" s="1"/>
  <c r="B621" i="1" s="1"/>
  <c r="B622" i="1" s="1"/>
  <c r="B623" i="1" s="1"/>
  <c r="B624" i="1" s="1"/>
  <c r="B625" i="1" s="1"/>
  <c r="B626" i="1" s="1"/>
  <c r="B627" i="1" s="1"/>
  <c r="B628" i="1" s="1"/>
  <c r="B629" i="1" s="1"/>
  <c r="B630" i="1" s="1"/>
  <c r="B631" i="1" s="1"/>
  <c r="B632" i="1" s="1"/>
</calcChain>
</file>

<file path=xl/comments1.xml><?xml version="1.0" encoding="utf-8"?>
<comments xmlns="http://schemas.openxmlformats.org/spreadsheetml/2006/main">
  <authors>
    <author>Adriana Clemencia Lopez Chavez</author>
  </authors>
  <commentList>
    <comment ref="AK508" authorId="0" shapeId="0">
      <text>
        <r>
          <rPr>
            <b/>
            <sz val="9"/>
            <color indexed="81"/>
            <rFont val="Tahoma"/>
            <family val="2"/>
          </rPr>
          <t>Adriana Clemencia Lopez Chavez:</t>
        </r>
        <r>
          <rPr>
            <sz val="9"/>
            <color indexed="81"/>
            <rFont val="Tahoma"/>
            <family val="2"/>
          </rPr>
          <t xml:space="preserve">
no aparece en el libro ivan</t>
        </r>
      </text>
    </comment>
  </commentList>
</comments>
</file>

<file path=xl/sharedStrings.xml><?xml version="1.0" encoding="utf-8"?>
<sst xmlns="http://schemas.openxmlformats.org/spreadsheetml/2006/main" count="14473" uniqueCount="4446">
  <si>
    <t>Fecha</t>
  </si>
  <si>
    <t>Ítem</t>
  </si>
  <si>
    <t>Gerencia</t>
  </si>
  <si>
    <t>Fecha Radicación / Inicio de la Actividad</t>
  </si>
  <si>
    <t>mes</t>
  </si>
  <si>
    <t>PACC</t>
  </si>
  <si>
    <t>Objeto</t>
  </si>
  <si>
    <t>Plazo</t>
  </si>
  <si>
    <t>No. Proceso Contractual</t>
  </si>
  <si>
    <t>CDP</t>
  </si>
  <si>
    <t>Valor CDP</t>
  </si>
  <si>
    <t>V.F.</t>
  </si>
  <si>
    <t>Valor V.F.</t>
  </si>
  <si>
    <t>Modalidad</t>
  </si>
  <si>
    <t>Gestor</t>
  </si>
  <si>
    <t>Fecha de entrega al gestor</t>
  </si>
  <si>
    <t>No. días en GAE</t>
  </si>
  <si>
    <t xml:space="preserve">Dias desde asignado a gestor </t>
  </si>
  <si>
    <t>Estado 1</t>
  </si>
  <si>
    <t>Estado 2</t>
  </si>
  <si>
    <t>Fecha Entrega al Área solicitante</t>
  </si>
  <si>
    <t>Mes fin</t>
  </si>
  <si>
    <t>Tiempo total Gae</t>
  </si>
  <si>
    <t>Tiempo ejecucion del gestor</t>
  </si>
  <si>
    <t>Literal Manual de Contratacion</t>
  </si>
  <si>
    <t>Tipo de gasto</t>
  </si>
  <si>
    <t>No. Aceptacion de la oferta</t>
  </si>
  <si>
    <t>Contratista</t>
  </si>
  <si>
    <t>GUENAA</t>
  </si>
  <si>
    <t>LUCY ARBELAEZ</t>
  </si>
  <si>
    <t>0002</t>
  </si>
  <si>
    <t>0003</t>
  </si>
  <si>
    <t>GUENE</t>
  </si>
  <si>
    <t>GUENT</t>
  </si>
  <si>
    <t>CENELIA CRUZ</t>
  </si>
  <si>
    <t>ESTEFANIA SANCHEZ</t>
  </si>
  <si>
    <t>Etiquetas de fila</t>
  </si>
  <si>
    <t>Total general</t>
  </si>
  <si>
    <t>Cuenta de Ítem</t>
  </si>
  <si>
    <t>Etiquetas de columna</t>
  </si>
  <si>
    <t>Invitación Pública</t>
  </si>
  <si>
    <t>Tramitado</t>
  </si>
  <si>
    <t>FRANCIA RAMÍREZ</t>
  </si>
  <si>
    <t>Invitación Privada</t>
  </si>
  <si>
    <t>DÍA</t>
  </si>
  <si>
    <t>CONCEPTO</t>
  </si>
  <si>
    <t>Acuerdos Comerciales</t>
  </si>
  <si>
    <t>Contratos Marco</t>
  </si>
  <si>
    <t>Total</t>
  </si>
  <si>
    <t>TOTAL</t>
  </si>
  <si>
    <t>Cant.</t>
  </si>
  <si>
    <t>Recibidos</t>
  </si>
  <si>
    <t>Contratados</t>
  </si>
  <si>
    <t>Cerrados</t>
  </si>
  <si>
    <t>Devueltos</t>
  </si>
  <si>
    <t>En Trámite</t>
  </si>
  <si>
    <t>Mes Radicación</t>
  </si>
  <si>
    <t>UEN</t>
  </si>
  <si>
    <t>APOYO</t>
  </si>
  <si>
    <t>Apoyo</t>
  </si>
  <si>
    <t>Días</t>
  </si>
  <si>
    <t>Prom.</t>
  </si>
  <si>
    <t>Meta</t>
  </si>
  <si>
    <t>Cumplimiento</t>
  </si>
  <si>
    <t>Consolidado</t>
  </si>
  <si>
    <t>Valor Contratado</t>
  </si>
  <si>
    <t>% Ahorro</t>
  </si>
  <si>
    <t>Valor Presupuesto</t>
  </si>
  <si>
    <t>Valor Ahorro</t>
  </si>
  <si>
    <t>Mes 
Entrega 
Área</t>
  </si>
  <si>
    <t>3.- AHORRO EN LA CONTRATACIÓN</t>
  </si>
  <si>
    <t>2.- TIEMPOS DE RESPUESTA</t>
  </si>
  <si>
    <t>1.- RADICADOS</t>
  </si>
  <si>
    <t>Tiempo de Respuesta</t>
  </si>
  <si>
    <t>AC - CM</t>
  </si>
  <si>
    <t>REQUERIMIENTOS RADICADOS</t>
  </si>
  <si>
    <t>REQUERIMIENTOS CONTRATADOS</t>
  </si>
  <si>
    <t>REQUERIMIENTOS CERRADOS</t>
  </si>
  <si>
    <t>REQUERIMIENTOS DEVUELTOS</t>
  </si>
  <si>
    <t>REQUERIMIENTOS EN TRÁMITE</t>
  </si>
  <si>
    <t xml:space="preserve">
Mes 
Entrega 
Área</t>
  </si>
  <si>
    <t>Suspendidos</t>
  </si>
  <si>
    <t>TOTALES</t>
  </si>
  <si>
    <t>Ejec</t>
  </si>
  <si>
    <t>4.- EFICACIA GESTORES</t>
  </si>
  <si>
    <t xml:space="preserve">Valor     Presupuestado </t>
  </si>
  <si>
    <t>Valor 
adjudicado</t>
  </si>
  <si>
    <t xml:space="preserve">Suma de Valor     Presupuestado </t>
  </si>
  <si>
    <t>Total Cuenta de Ítem</t>
  </si>
  <si>
    <t xml:space="preserve">Total Suma de Valor     Presupuestado </t>
  </si>
  <si>
    <t xml:space="preserve">Total Suma de Valor </t>
  </si>
  <si>
    <t>Valor 
(Millones $)</t>
  </si>
  <si>
    <t>0001</t>
  </si>
  <si>
    <t>Requerimientos Radicados en la GAE</t>
  </si>
  <si>
    <t xml:space="preserve">Requerimientos Radicados por Área </t>
  </si>
  <si>
    <r>
      <t>Estado de los Requerimientos Recibidos</t>
    </r>
    <r>
      <rPr>
        <b/>
        <sz val="9"/>
        <color theme="1"/>
        <rFont val="Arial"/>
        <family val="2"/>
      </rPr>
      <t/>
    </r>
  </si>
  <si>
    <t>Número Único</t>
  </si>
  <si>
    <t>Ficha de Requerimiento</t>
  </si>
  <si>
    <t>Área</t>
  </si>
  <si>
    <t>Tpo 
Privada 1 
Pública 2</t>
  </si>
  <si>
    <t>No. 
de días</t>
  </si>
  <si>
    <t>Días descontados (justificados)</t>
  </si>
  <si>
    <t>sábado</t>
  </si>
  <si>
    <t>Año Nuevo</t>
  </si>
  <si>
    <t>lunes</t>
  </si>
  <si>
    <t>Día de los Reyes Magos</t>
  </si>
  <si>
    <t>Día de San José</t>
  </si>
  <si>
    <t>jueves</t>
  </si>
  <si>
    <t>Jueves Santo</t>
  </si>
  <si>
    <t>viernes</t>
  </si>
  <si>
    <t>Viernes Santo</t>
  </si>
  <si>
    <t>domingo</t>
  </si>
  <si>
    <t>Día del Trabajo</t>
  </si>
  <si>
    <t>Día de la Ascensión</t>
  </si>
  <si>
    <t>Corpus Christi</t>
  </si>
  <si>
    <t>Sagrado Corazón</t>
  </si>
  <si>
    <t>San Pedro y San Pablo</t>
  </si>
  <si>
    <t>miércoles</t>
  </si>
  <si>
    <t>Día de la Independencia</t>
  </si>
  <si>
    <t>Batalla de Boyacá</t>
  </si>
  <si>
    <t>Celebración del Día de la Raza</t>
  </si>
  <si>
    <t>Día de todos los Santos</t>
  </si>
  <si>
    <t>Independencia de Cartagena</t>
  </si>
  <si>
    <t>Inmaculada Concepción</t>
  </si>
  <si>
    <t>Navidad</t>
  </si>
  <si>
    <t>Día de la Asunción</t>
  </si>
  <si>
    <t>FESTIVOS 2022</t>
  </si>
  <si>
    <t>Compensatorio</t>
  </si>
  <si>
    <t>martes</t>
  </si>
  <si>
    <t>AHORRO TOTAL</t>
  </si>
  <si>
    <t>AHORRO INVITACIÓN PÚBLICA</t>
  </si>
  <si>
    <t>AHORRO INVITACIÓN PRIVADA</t>
  </si>
  <si>
    <t>AHORRO CONTRATOS MARCO / ACUERDOS COMERCIALES</t>
  </si>
  <si>
    <t>DÍAS INVITACIÓN PRIVADA TODAS</t>
  </si>
  <si>
    <t>DÍAS INVITACIÓN PRIVADA UEN</t>
  </si>
  <si>
    <t>DÍAS INVITACIÓN PÚBLICA TODAS</t>
  </si>
  <si>
    <t>DÍAS INVITACIÓN PÚBLICA APOYO</t>
  </si>
  <si>
    <t>DÍAS INVITACIÓN PÚBLICA UEN</t>
  </si>
  <si>
    <t>Observaciones</t>
  </si>
  <si>
    <t>Fecha numeracion de la AO</t>
  </si>
  <si>
    <t>Variable inventario</t>
  </si>
  <si>
    <t>Fecha variable</t>
  </si>
  <si>
    <t>Ubicación</t>
  </si>
  <si>
    <t>Control ahorro</t>
  </si>
  <si>
    <t>Ciudad proveedor</t>
  </si>
  <si>
    <t>0371</t>
  </si>
  <si>
    <t>N/A</t>
  </si>
  <si>
    <t>FR-400-GT-0163-2021</t>
  </si>
  <si>
    <t>Suministro de terminales ópticos ONT para la instalación de servicios en los clientes a través de la expansión de proyectos de FTTH (Fibra hasta la Casa) de EMCALI.</t>
  </si>
  <si>
    <t>2 años</t>
  </si>
  <si>
    <t>900-IPU-0385-2021</t>
  </si>
  <si>
    <t>AYDEE OVALLE</t>
  </si>
  <si>
    <t>Cerrado</t>
  </si>
  <si>
    <t>CERRADO</t>
  </si>
  <si>
    <t xml:space="preserve">28 de julio elaoracion de la IM
24 DE AGOSTO EN REVISION DE LA CC POR EL COORDINADOR GAE
29 DE SEPTIEMBRE EN RECEPCION DE OFERTAS
2 de noviembre 'Evaluación de propuestas y homologación de muestras hasta el 04 NOV 2021.
9 de noviembre en evaluacion sobre 1 y muestras
2 de diciembre a la espera del informe fina de evaluacion
31 de diciembre en respuesta en observaciones
21 de enerero este proceso se va a cerrar se espera el informe de evaluacion.
</t>
  </si>
  <si>
    <t>INVERSION</t>
  </si>
  <si>
    <t>0513</t>
  </si>
  <si>
    <t>GE0435</t>
  </si>
  <si>
    <t>FR-500-GE-0222-2021</t>
  </si>
  <si>
    <t>Suministro, instalación, pruebas y puesta en servicio de una infraestructura de medición avanzada AMI y del centro de gestión de la medida (CGM) en la zona de influencia de Energía de EMCALI, de acuerdo con especificaciones técnicas Anexas.</t>
  </si>
  <si>
    <t>900-IPU-0491-2021</t>
  </si>
  <si>
    <t>JUAN PABLO QUIMBAYO</t>
  </si>
  <si>
    <t>0553</t>
  </si>
  <si>
    <t>GE0439</t>
  </si>
  <si>
    <t>FR-500-GE-0234-2021</t>
  </si>
  <si>
    <t>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t>
  </si>
  <si>
    <t>31 de diciembre 2023</t>
  </si>
  <si>
    <t>900-IPU-0522-2021</t>
  </si>
  <si>
    <t>Entregado al area</t>
  </si>
  <si>
    <t>CONTRATADO</t>
  </si>
  <si>
    <t>2 de noviembre en elaboracion de fpa y cc
9 de noviembre en elaboracion de la fpa y cc
17 DE DICIEMBRE EN EVALAUCION DE SUBSANABLES
24 DE ENERO EN APROBACION DE POLIZAS DESDE EL 20 DE ENERO.</t>
  </si>
  <si>
    <t>FUNCIONAMIENTO</t>
  </si>
  <si>
    <t>500-CO-0590-2022</t>
  </si>
  <si>
    <t>PROYECTOS DE INGENIERIA SA -PROING SA</t>
  </si>
  <si>
    <t>CALI</t>
  </si>
  <si>
    <t>LOCAL</t>
  </si>
  <si>
    <t>0560</t>
  </si>
  <si>
    <t>GE0440</t>
  </si>
  <si>
    <t>FR-500-GE-0238-2021</t>
  </si>
  <si>
    <t>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t>
  </si>
  <si>
    <t>900-IPU-0523-2021</t>
  </si>
  <si>
    <t>0567</t>
  </si>
  <si>
    <t>GE0441</t>
  </si>
  <si>
    <t>FR-500-GE-0235-2021</t>
  </si>
  <si>
    <t>Ampliación de infraestructura eléctrica, instalación de cable ecológico y reconfiguración de algunos tramos de los Circuitos de la Subestación Sur, para realizar nuevos circuitos.</t>
  </si>
  <si>
    <t>11,5 meses  sin exceder  el 31 de diciembre de 2022</t>
  </si>
  <si>
    <t>900-IPU-0530-2021</t>
  </si>
  <si>
    <t>HAROLD MONDRAGON</t>
  </si>
  <si>
    <t>0568</t>
  </si>
  <si>
    <t>GE0442</t>
  </si>
  <si>
    <t>FR-500-GE-0236-2021</t>
  </si>
  <si>
    <t>Ampliación de infraestructura eléctrica, instalación de cable ecológico y reconfiguración de algunos tramos de los Circuitos de la Subestación DIESEL II, para realizar nuevos circuitos.</t>
  </si>
  <si>
    <t>900-IPU-0535-2021</t>
  </si>
  <si>
    <t xml:space="preserve">2 de noviembre en elaboracion de fpa e invitacion
9 de noviembre en revision de la CC por por parte del gerente jorge
4 DE ENERO SE ADENDO PARA PBLICAR RESPUESTA OBSERVACIONES EL JUEVES 6 DE ENERO.
4 DE ENERO SE ADENDO PARA PBLICAR RESPUESTA OBSERVACIONES EL JUEVES 6 DE ENERO.
jUEVES 13 DE ENERO SE CIERRA POR TEMAS PRESUPUESTALES Y SE INICIARA UN NUEVO PROCESO.
</t>
  </si>
  <si>
    <t>0569</t>
  </si>
  <si>
    <t>GE0443</t>
  </si>
  <si>
    <t>FR-500-GE-0237-2021</t>
  </si>
  <si>
    <t>Ampliación de infraestructura eléctrica, instalación de cable ecológico y reconfiguración de algunos tramos de los Circuitos de la Subestación LADERA 115KV, para realizar nuevos circuitos.</t>
  </si>
  <si>
    <t>9 meses sin exceder el 31 de diciembre de 2022</t>
  </si>
  <si>
    <t>900-IPU-0536-2021</t>
  </si>
  <si>
    <t>0590</t>
  </si>
  <si>
    <t>GAA1312</t>
  </si>
  <si>
    <t>FR-300-GAA-0258-2021</t>
  </si>
  <si>
    <t>Rehabilitar los componentes priorizados de las estructuras de Captación y Pretratamiento de la PTAP Río Cali.</t>
  </si>
  <si>
    <t>365 dias</t>
  </si>
  <si>
    <t>900-IPU-0556-2021</t>
  </si>
  <si>
    <t>PABLO CAICEDO</t>
  </si>
  <si>
    <t>0618</t>
  </si>
  <si>
    <t>FR-300-GAA-0266-2021</t>
  </si>
  <si>
    <t>Interventoría para el suministro, montaje, instalación, pruebas, calibración y puesta en funcionamiento de equipos, elementos y demás infraestructura requerida para la estación de bombeo de paso del comercio iv.</t>
  </si>
  <si>
    <t>27 MESES</t>
  </si>
  <si>
    <t>900-IPU-0682-2021</t>
  </si>
  <si>
    <t>CDR0003830</t>
  </si>
  <si>
    <t>VIAGNERY LOPEZ</t>
  </si>
  <si>
    <t>Devuelto</t>
  </si>
  <si>
    <t>DEVUELTO</t>
  </si>
  <si>
    <t>1 DE DICIEMBRE ESPERANDO INFORMACION DEL AREA</t>
  </si>
  <si>
    <t>0619</t>
  </si>
  <si>
    <t>FR-300-GAA-0265-2021</t>
  </si>
  <si>
    <t>Optimización de la estación de bombeo de aguas lluvias paso del comercio - paso iv.</t>
  </si>
  <si>
    <t>23 MESES</t>
  </si>
  <si>
    <t>900-IPU-0584-2021</t>
  </si>
  <si>
    <t>1 DE DICIEMBRE ESPERANDO INFORMACION DEL AREA
SE DEVUELVE PORQUE ES NECESARIO TENER VIGENCIA EXCEPCIONALES</t>
  </si>
  <si>
    <t>0636</t>
  </si>
  <si>
    <t>GE0444</t>
  </si>
  <si>
    <t>FR-500-GE-0258-2021</t>
  </si>
  <si>
    <t>500-CMA-1743-2021</t>
  </si>
  <si>
    <t>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</si>
  <si>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31 DE DICIEMBRE 2022</t>
  </si>
  <si>
    <t>108-202100077</t>
  </si>
  <si>
    <t>CM</t>
  </si>
  <si>
    <t>21 DE ENERO SE TOMA LA DECSION DE DEVOLVERLO PORQUE NO LLEGO EL CDP</t>
  </si>
  <si>
    <t>0637</t>
  </si>
  <si>
    <t>FR-500-GE-0256-2021</t>
  </si>
  <si>
    <t>Contrato marco para suministro DDP de transformadores eléctricos de distribución con transformadores de corriente (TC) incluidos, exceptuando los transformadores ocacionalmente sumergibles.</t>
  </si>
  <si>
    <t>2 AÑOS</t>
  </si>
  <si>
    <t>0648</t>
  </si>
  <si>
    <t>GAA1321</t>
  </si>
  <si>
    <t>FR-300-GAA-0271-2021</t>
  </si>
  <si>
    <t>Obras civiles y mecánicas para construcción muro de concreto y optimización descarga estación de bombeo Guaduales.</t>
  </si>
  <si>
    <t>108-202100058
EXCEPCIONAL</t>
  </si>
  <si>
    <t>C</t>
  </si>
  <si>
    <t>0649</t>
  </si>
  <si>
    <t>NO TRAE ITEM PACC PORQUE NO SON RECURSOS DE EMCALI</t>
  </si>
  <si>
    <t>FR-300-GAA-0272-2021</t>
  </si>
  <si>
    <t>Realizar la interventoría tecnica, administrativa, financiera y legal del contrato que surja del proceso, cuyo objeto es realizar la construcción de las obras civiles y mecánicas para construcción de muro de concreto, y optimización descarga estación de bombeo Guaduales.</t>
  </si>
  <si>
    <t>0653</t>
  </si>
  <si>
    <t>FR-300-GAA-0268-2021</t>
  </si>
  <si>
    <t>Contrato Marco para el suministro de Alcalinizante para las plantas de tratamiento de AguaPotable de la Unidad de Producción de Agua Potable de EMCALI EICE ESP: CAL VIVA</t>
  </si>
  <si>
    <t>900-IPU-0588-2021</t>
  </si>
  <si>
    <t>GT0148</t>
  </si>
  <si>
    <t>FR-400-GT-0003-2022</t>
  </si>
  <si>
    <t>Prestación de servicios de licenciamiento de software de las suites cpanel</t>
  </si>
  <si>
    <t>30 dias</t>
  </si>
  <si>
    <t>900-IP-0054-2022</t>
  </si>
  <si>
    <t>PENDIENTE</t>
  </si>
  <si>
    <t>ADALBERTO VALENCIA</t>
  </si>
  <si>
    <t>21 de enero se envio la invitacion a ofertar al proveedor
24 DE ENERO EN ESPERA DE LA NUMERACION DE LA ACEPTACION DE LA OFERTA
26 de enero en aprobacion de poliza
28 de enero entregado al area</t>
  </si>
  <si>
    <t>G</t>
  </si>
  <si>
    <t>400-AO-1045-2022</t>
  </si>
  <si>
    <t>SOLUCIONES DE TELECOMUNICACIONES Y COMPUTO SAS</t>
  </si>
  <si>
    <t>GT0158</t>
  </si>
  <si>
    <t>FR-400-GT-0004-2022</t>
  </si>
  <si>
    <t>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t>
  </si>
  <si>
    <t>900-IP-0055-2022</t>
  </si>
  <si>
    <t>21 de enero se envio la invitacion a ofertar al proveedor
24 DE ENERO EN EVALUACION
26 de enero en espera de la firma del gerente en la aceptacion de la oferta
28 de enero en espera de las polizas ya tiene registrp</t>
  </si>
  <si>
    <t>GT0166</t>
  </si>
  <si>
    <t>FR-400-GT-0005-2022</t>
  </si>
  <si>
    <t>Soporte técnico, actualización y mantenimiento plataforma de Gestión de Redes de acceso WIFI</t>
  </si>
  <si>
    <t>900-IP-0056-2022</t>
  </si>
  <si>
    <t>21 de enero se envio la invitacion a ofertar al proveedor
24 DE ENERO EN ESPERA DE LA NUMERACION DE LA ACEPTACION DE LA OFERTA
26 de enero en aprobacion de poliza
28 de enero en aprobacion de la polizas</t>
  </si>
  <si>
    <t>0004</t>
  </si>
  <si>
    <t>GT0165</t>
  </si>
  <si>
    <t>FR-400-GT-0007-2022</t>
  </si>
  <si>
    <t>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t>
  </si>
  <si>
    <t>11 meses</t>
  </si>
  <si>
    <t>900-IP-0058-2022</t>
  </si>
  <si>
    <t>ANA MARIA GIL</t>
  </si>
  <si>
    <t>20 DE ENERO EN VISITA TECNICA 
21 DE ENERO ESPERANDO COTIZACIONES DE LOS PROVEEDORES SINO SE DEVUELVE
24 de enero a la espera de proveedor porque no hay proveedor para ese proceso
26 de Enero se devuelve porque se cotizo por encima del presupuesto.</t>
  </si>
  <si>
    <t>0005</t>
  </si>
  <si>
    <t>GT0190</t>
  </si>
  <si>
    <t>FR-400-GT-0001-2022</t>
  </si>
  <si>
    <t>Suministro de cubiertas de empalme, materiales de reentradas y accesorios para empalmería de cables multipares con protección de barrera contra humedad (BCH) de uso en la red externa en la operación y matenimiento de la GUENTIC.</t>
  </si>
  <si>
    <t>45 dias</t>
  </si>
  <si>
    <t>900-IP-0057-2022</t>
  </si>
  <si>
    <t>21 DE ENERO PARA FIRMA DE JEFE JORGE DE LA FPA E INVITACION
24 de enero evaluando y esperando subsanables
26 de enero en evaluacion
28 de enero solicitud de registro y polizas</t>
  </si>
  <si>
    <t>2021-363</t>
  </si>
  <si>
    <t>0006</t>
  </si>
  <si>
    <t>GT0207</t>
  </si>
  <si>
    <t>FR-400-GT-0009-2022</t>
  </si>
  <si>
    <t>Mano de obra y materiales para el mantenimiento correctivo y preventivo de Tapas Circulares y Rectangulares en Concreto con Sistema de Seguridad Mecánico, con el fin de proteger la red de acceso de EMCALI EICE ESP, según las Especificaciones Técnicas.</t>
  </si>
  <si>
    <t>120 dias</t>
  </si>
  <si>
    <t>900-IP-0093-2022</t>
  </si>
  <si>
    <t>21 DE ENERO EN COTIZACIONES SE PONE FECHA DE RADICADO EL DIA 19 DE ENERO QUE LLEGO EL CDP
26 DE ENERO PARA LA FIRMA LA INVITACION A OFERTAR 
28 de enero en recepcion de ofertas
REVISION DE LA EVALUACION</t>
  </si>
  <si>
    <t>0007</t>
  </si>
  <si>
    <t>GT0135</t>
  </si>
  <si>
    <t>FR-400-GT-0008-2022</t>
  </si>
  <si>
    <t>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t>
  </si>
  <si>
    <t>60 dias</t>
  </si>
  <si>
    <t>900-IP-0094-2022</t>
  </si>
  <si>
    <t>21 DE ENERO EN COTIZACIONES SE PONE FECHA DE RADICADO EL DIA 19 DE ENERO QUE LLEGO EL CDP
26 DE ENERO SE DEVUELVE EL DIA DE MAÑANA PORQUE IMPACTO TRIBUTARIO NO DIO SU CONCEPTO Y EL AREA NO MODIFICO LAS ESPECIFICACIONES Y NO SE ALCANZA A TERMINAR
Lo recibieron nuevamente 
28 de enero en elaboracion de fpa e invitacion</t>
  </si>
  <si>
    <t>0008</t>
  </si>
  <si>
    <t>GT0191</t>
  </si>
  <si>
    <t>FR-400-GT-0002-2022</t>
  </si>
  <si>
    <t>Suministro de conectores para realizar empalme de conductores de cobre en cables multipares de uso en la red de planta externa requeridos para el mantenimiento de las redes  de acceso de la GUENTIC.</t>
  </si>
  <si>
    <t>900-IP-0059-2022</t>
  </si>
  <si>
    <t>21 DE ENERO PARA FIRMA DE JEFE JORGE DE LA FPA E INVITACION. Este proceso de devolvio porque se tuvo que modificar el formulario de precios y cantidades, se recibio nuevamente con el mismo numero unico y PACC
24 de enero en recepcion de ofertas
26 d enero en revision de la evaluacion</t>
  </si>
  <si>
    <t>0009</t>
  </si>
  <si>
    <t>GAA0555</t>
  </si>
  <si>
    <t>FR-300-GAA-0001-2022</t>
  </si>
  <si>
    <t>Servicios de mantenimiento preventivo y correctivo de equipos menores.</t>
  </si>
  <si>
    <t>900-IP-0101-2021</t>
  </si>
  <si>
    <t>PAOLA BELTRAN</t>
  </si>
  <si>
    <t>21 DE ENNERO EN REVISION DE INVITACION Y FP
24 de enero  se reciben la oferta el 25 de enero
26 DE ENERO EN APROBACION DE POLIZAS</t>
  </si>
  <si>
    <t>300-AO-1043-2022</t>
  </si>
  <si>
    <t>TALLERES BRIG LTDA</t>
  </si>
  <si>
    <t>0010</t>
  </si>
  <si>
    <t>GAA0556</t>
  </si>
  <si>
    <t>FR-300-GAA-0002-2022</t>
  </si>
  <si>
    <t>Prestar el servicio de transporte para apoyar la supervisión del contrato de obra
No 300-CO-1437-2018</t>
  </si>
  <si>
    <t>8 meses</t>
  </si>
  <si>
    <t>900-IP-0068-2022</t>
  </si>
  <si>
    <t>21 DE ENERO EN COTIZACIONES
24 de enero  se reciben la oferta el 25 de enero
26 DE ENERO EN REVISION DE LA EVALUACION
28 DE ENERO EN RP Y POLIZAS</t>
  </si>
  <si>
    <t>0011</t>
  </si>
  <si>
    <t>GAE</t>
  </si>
  <si>
    <t>GAE0013</t>
  </si>
  <si>
    <t>FR-900-GAE-0053-2022</t>
  </si>
  <si>
    <t>Servicio de consulta y reporte sobre las actividades y/o información financiera, comercial, legal, reputacional, de marketing y riesgos asociados a los proveedores, así como el monitoreo de los mismos.</t>
  </si>
  <si>
    <t>31 de diciembre 2022</t>
  </si>
  <si>
    <t>900-IP-0077-2022</t>
  </si>
  <si>
    <t>21 DE ENERO ESPERANDO MODIFICACION DEL CDP PARA CONTINUAR
26 DE ENERO PARA LA FIRMA DE LA ACEPTACION DE LA OFERTA
28 de enero ensolicitud de polizar y rp</t>
  </si>
  <si>
    <t>0012</t>
  </si>
  <si>
    <t>GAGHA</t>
  </si>
  <si>
    <t>GHA0043</t>
  </si>
  <si>
    <t>FR-800-GAGHA-0082-2022</t>
  </si>
  <si>
    <t>Realizar el mantenimiento y reparación de armas de fuego adscritas a la Unidad de Seguridad Fisica y Electrónica, con el fin de asegurar el correcto funcionamiento.</t>
  </si>
  <si>
    <t>900-IP-0063-2022</t>
  </si>
  <si>
    <t>LEIDY FRANCO</t>
  </si>
  <si>
    <t>21 de enero se invito a ofertar al proveedor
24 DE ENERO EN RECEPCION DE OFERTAS
26 DE ENERO PARA LA FIRMA DE LA ACEPTACION DE LA OFERTA
28 de enero en solciitud de polizas y rp
Esperando polizas</t>
  </si>
  <si>
    <t>0013</t>
  </si>
  <si>
    <t>GHA0046</t>
  </si>
  <si>
    <t>FR-800-GAGHA-0084-2022</t>
  </si>
  <si>
    <t>Adquisición, instalación, configuración, integración y operación del sistema de Circuito Cerrado de Televisión CCTV en la Subestación Melendez de EMCALI EICE ESP.</t>
  </si>
  <si>
    <t>900-IP-0064-2022</t>
  </si>
  <si>
    <t>21  enero en revision de la invitacion 
24 DE ENERO EN RECEPCION DE OFERTAS
26 DE ENERO EN REVISION DE LA EVALUACION
28 de enero se cerro por solicitud del area</t>
  </si>
  <si>
    <t>0014</t>
  </si>
  <si>
    <t>GHA0042</t>
  </si>
  <si>
    <t>FR-800-GAGHA-0085-2022</t>
  </si>
  <si>
    <t>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t>
  </si>
  <si>
    <t>900-IP-0065-2022</t>
  </si>
  <si>
    <t>0015</t>
  </si>
  <si>
    <t>GHA0088</t>
  </si>
  <si>
    <t>FR-800-GAGHA-0087-2022</t>
  </si>
  <si>
    <t>Realizar el mantenimiento preventivo y correctivo a las motocicletas que conforman el parque automotor de EMCALI EICE ESP que lo requieran.</t>
  </si>
  <si>
    <t>900-IP-0066-2022</t>
  </si>
  <si>
    <t>21  enero en revision de la invitacion 
24 DE ENERO EN RECEPCION DE OFERTAS
26 de enero en revision de la evaluacion
28 de enero en solciitud de polizas y rp
EN aprobacion de polizas
1 de febrero entregado al area</t>
  </si>
  <si>
    <t>800-AO-1344-2022</t>
  </si>
  <si>
    <t>ZAGAMOTOS DEL PACIFICO SAS</t>
  </si>
  <si>
    <t>0016</t>
  </si>
  <si>
    <t>GTI</t>
  </si>
  <si>
    <t>GTI0366</t>
  </si>
  <si>
    <t>FR-200-GTI-0001-2022</t>
  </si>
  <si>
    <t>Realizar procesos de mejoramiento y desarrollo de software, que permita contar con trámites de cara al ciudadano más automatizados desde el portal web de EMCALI.</t>
  </si>
  <si>
    <t>30 de julio 2022</t>
  </si>
  <si>
    <t>CRISTHIAN BURBANO</t>
  </si>
  <si>
    <t>SE DEVUELVEN PORQUE NO SE RECIBIO CDP POR PARTE DEL AREA</t>
  </si>
  <si>
    <t>0017</t>
  </si>
  <si>
    <t>GTI0050</t>
  </si>
  <si>
    <t>FR-200-GTI-0002-2022</t>
  </si>
  <si>
    <t>Prestación de servicios especializados de análisis, diseño, desarrollo, pruebas, puesta en producción y soporte, para sistematizar la gestión y control de los procesos disciplinarios con los parámetros técnicos y legales vigentes.</t>
  </si>
  <si>
    <t>0018</t>
  </si>
  <si>
    <t>GTI0039</t>
  </si>
  <si>
    <t>FR-200-GTI-0003-2022</t>
  </si>
  <si>
    <t>Realizar el levantamiento, diseño, desarrollo, configuración, capacitación y puesta en producción de una herramienta de software, que permita contar con cuadros de mando de control, para la gerencia de los proyectos ejecutados en EMCALI desde la PMO.</t>
  </si>
  <si>
    <t>DEVUELTO PORQUE NO TENIAN CDP</t>
  </si>
  <si>
    <t>0019</t>
  </si>
  <si>
    <t>GTI0042</t>
  </si>
  <si>
    <t>FR-200-GTI-0006-2022</t>
  </si>
  <si>
    <t>Servicio en nube de 161 escritorios remotos mensualizado para equipos de cómputo con arquitectura de 32 y 654 bit, que fortalezcan el desarrollo de las actividades de PQRS, CALL CENTER e implementación del proyecto SAP, solicitada por la gerencia de comerciales y GTI.</t>
  </si>
  <si>
    <t>SE DVUELVE PORQUE NO TENIA CDP</t>
  </si>
  <si>
    <t>0020</t>
  </si>
  <si>
    <t>GTI0002</t>
  </si>
  <si>
    <t>FR-200-GTI-0008-2022</t>
  </si>
  <si>
    <t>Adquirir renovación plataforma Proxi y Filtrado de Contenido.</t>
  </si>
  <si>
    <t>Se devuelve porque no tenian CDP</t>
  </si>
  <si>
    <t>0021</t>
  </si>
  <si>
    <t>GTI0037
GTI0084</t>
  </si>
  <si>
    <t>FR-200-GTI-0015-2022</t>
  </si>
  <si>
    <t>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t>
  </si>
  <si>
    <t>SE DEVUELVE PORQUE NO TENIA CDP</t>
  </si>
  <si>
    <t>0022</t>
  </si>
  <si>
    <t>GTI0081</t>
  </si>
  <si>
    <t>FR-200-GTI-0007-2022</t>
  </si>
  <si>
    <t>Prestar el servicio de soporte, actualización y suscripción de la solución de seguridad de datos OneGate, para el módulo FIDO2 y la licencia para 2400 usuarios concurrentes adquiridas previamente a perpetuidad por EMCALI EICE.</t>
  </si>
  <si>
    <t>30 de abril 2022</t>
  </si>
  <si>
    <t>SE DEVUELVE PROQUE LO DEBE CONTRATAR LA MISMA AREA</t>
  </si>
  <si>
    <t>0023</t>
  </si>
  <si>
    <t>GHA0044</t>
  </si>
  <si>
    <t>FR-800-GAGHA-0081-2022</t>
  </si>
  <si>
    <t>Realizar el mantenimiento y reparación de 49 vallas adscritas a la Unidad de Seguridad Fisica y Electrónica.</t>
  </si>
  <si>
    <t>900-IP-0071-2021</t>
  </si>
  <si>
    <t>MARIO AREVALO</t>
  </si>
  <si>
    <t>12 DE ENERO LLEGARON LOS 
21 DE ENERO EN REVISION DE LA FPA E INVITACION
24 DE ENERO EN RECEPCION DE OFERTAS
26 DE ENERO EN REVISION DE LA EVALUACION
28 DE ENERO EN RP Y POLIZAS</t>
  </si>
  <si>
    <t>0024</t>
  </si>
  <si>
    <t>GHA0045</t>
  </si>
  <si>
    <t>FR-800-GAGHA-0083-2022</t>
  </si>
  <si>
    <t>Prestar el servicio de impresión de Carnés Institucionales con Insumos para la identificación del personal vinculado EMCALI EICE ESP.</t>
  </si>
  <si>
    <t>900-IP-0070-2021</t>
  </si>
  <si>
    <t>21 DE ENERO EN REVISION DE LA FPA E INVITACION
24 DE ENERO EN RECEPCION DE OFERTAS
28 DE ENERO EN RP Y POLIZAS</t>
  </si>
  <si>
    <t>0025</t>
  </si>
  <si>
    <t>GHA0192</t>
  </si>
  <si>
    <t>FR-800-GAGHA-0096-2022</t>
  </si>
  <si>
    <t>10 meses</t>
  </si>
  <si>
    <t>900-IP-0062-2022</t>
  </si>
  <si>
    <t xml:space="preserve">24 DE ENERO EN APROBACION DE POLIZAS
26 DE ENERO CONTRATADO
</t>
  </si>
  <si>
    <t>800-AO-0231-2022</t>
  </si>
  <si>
    <t>CARVAJAL TECNOLOGIA  Y SERVICIO SAS</t>
  </si>
  <si>
    <t>0026</t>
  </si>
  <si>
    <t>GE0273</t>
  </si>
  <si>
    <t>FR-500-GE-0104-2022</t>
  </si>
  <si>
    <t>Publicación de tarifas de:
-Energía para el mercado regulado, aplicables a consumos de mes para usuarios del sector residencial y no residencial de Cali, Yumbo y Puerto Tejada, año 2022.
-Calibración de medidores de energía y transformadores de medida, para la vigencia 2022.
-Cargos asociados con la conexión del Servicio Público domiciliario de electricidad de la Gerencia Unidad Estratégica Negocio Energía, vigencia 2022.</t>
  </si>
  <si>
    <t>31  de diciembre 2022</t>
  </si>
  <si>
    <t>900-IP-0069-2022</t>
  </si>
  <si>
    <t>202200905
202200906
202200907</t>
  </si>
  <si>
    <t>21 DE ENERO EN COTIZACIONES
24 de enero en solicitud de polizas y rp
26 DE ENERO EN APROBACION DE POLIZAS
28 DE ENRO EN APROBACION DE POLIZAS</t>
  </si>
  <si>
    <t>500-AO-0976-2022</t>
  </si>
  <si>
    <t>NUEVO DIARIO DE OCCIDENTE SAS</t>
  </si>
  <si>
    <t>0027</t>
  </si>
  <si>
    <t>GHA0073
GHA0074</t>
  </si>
  <si>
    <t>FR-800-GAGHA-0074-2022</t>
  </si>
  <si>
    <t>Contar con la atención integral de aires acondicionados  y sistemas de refrigeración: realizar el mantenimiento preventivo, correctivo y actividades complementarias en los equipos de aires acondicionados y sitemas de refrigeración de EMCALI EICE ESP.</t>
  </si>
  <si>
    <t>900-IP-0067-2021</t>
  </si>
  <si>
    <t>21 DE ENERO EN REVISION DE LA FPA E INVITACION
24 DE ENERO EN RECEPCION DE OFERTAS
26 DE ENERO  DEVUELTO POR SOLICITUD DEL GERENTE</t>
  </si>
  <si>
    <t>0028</t>
  </si>
  <si>
    <t>GHA0085</t>
  </si>
  <si>
    <t>FR-800-GAGHA-0076-2022</t>
  </si>
  <si>
    <t>Realizar el suministro e instalación de baterias nuevas, en la medida de la necesidad, para el Parque Automotor de EMCALI EICE ESP.</t>
  </si>
  <si>
    <t>900-IP-0078-2022</t>
  </si>
  <si>
    <t xml:space="preserve">21 de enero en solcitiud de cotizaciones
24 DE ENERO SE RECIBEN LAS COTIZACIONES
26 de enero en recepcion de ofertas
28 de enero en mumeracion de la aceptacion
En aprobacion de polizas
</t>
  </si>
  <si>
    <t>0029</t>
  </si>
  <si>
    <t>GHA0090</t>
  </si>
  <si>
    <t>FR-800-GAGHA-0086-2022</t>
  </si>
  <si>
    <t>Realizar la reparación de las llantas de los vehículos que conforman el Parque Automotor de EMCALI EICE ESP, que lo requieran. (vehículos livianos, medianos, pesados, equipos de Presión Succión y Maquinaria Amarilla)</t>
  </si>
  <si>
    <t>900-IP-0079-2022</t>
  </si>
  <si>
    <t xml:space="preserve">21 de enero en solcitiud de cotizaciones
24 DE ENERO SE RECIBEN LAS COTIZACIONES
26 de enero en recepcion de ofertas
28 de enero en mumeracion de la aceptacion
En aprobacion de polizas
</t>
  </si>
  <si>
    <t>800-AO-1378-2022</t>
  </si>
  <si>
    <t>VULCANIZADORA DE LA CRUZ</t>
  </si>
  <si>
    <t>0030</t>
  </si>
  <si>
    <t>GHA0091</t>
  </si>
  <si>
    <t>FR-800-GAGHA-0088-2022</t>
  </si>
  <si>
    <t>Compra de repuestos varios y/o misceláneos requeridos para atender fallas menores del Parque Automotor de EMCALI EICE ESP.</t>
  </si>
  <si>
    <t>900-IP-0081-2021</t>
  </si>
  <si>
    <t>LINA ECHAVARRIA</t>
  </si>
  <si>
    <t>Se le reasigna proceso a Lina Echavarria el 19 de enero 2022
21 de enero en espera de la cotizacion
24 DE ENERO HOY SE RECIBE LA COTIZACION
26 DE ENERO EN ESPERA DE LA FIRMA DE LA INVITACION
28 DE ENERO PARA FIRMA DE LA ACEPTACION DE LA OFERTA
a la espera de la numeracion de la aceptacion</t>
  </si>
  <si>
    <t>2021-369</t>
  </si>
  <si>
    <t>0031</t>
  </si>
  <si>
    <t>GHA0076</t>
  </si>
  <si>
    <t>FR-800-GAGHA-0089-2022</t>
  </si>
  <si>
    <t>800-CMA-1925-2021</t>
  </si>
  <si>
    <t>Realizar las actividades necesarias para llevar a cabo las adecuaciones locativas y mantenimiento preventivos y correctivos en las sedes pertenecientes al corporativo de EMCALI.</t>
  </si>
  <si>
    <t>29 de abril 2022</t>
  </si>
  <si>
    <t>21 DE ENERO EN REVISION DE LA INVITACION</t>
  </si>
  <si>
    <t>0032</t>
  </si>
  <si>
    <t>GHA0194</t>
  </si>
  <si>
    <t>FR-800-GAGHA-0090-2022</t>
  </si>
  <si>
    <t>800-CMA-1914-2021</t>
  </si>
  <si>
    <t>Realizar las actividades necesarias para llevar a cabo las adecuaciones locativas y mantenimiento preventivos y correctivos en la Gerencia de Unidad Estrategica de Negocio de Acueducto y Alcantarillado - Centro Operativo Navarro.</t>
  </si>
  <si>
    <t>0033</t>
  </si>
  <si>
    <t>GHA0201</t>
  </si>
  <si>
    <t>FR-800-GAGHA-0091-2022</t>
  </si>
  <si>
    <t>800-CMA-1916-2021</t>
  </si>
  <si>
    <t>Realizar las actividades necesarias para llevar a cabo las adecuaciones locativas y mantenimiento preventivos y correctivos en la Gerencia de Unidad Estrategica de Negocio de Energía.</t>
  </si>
  <si>
    <t>51 dias</t>
  </si>
  <si>
    <t>21 DE ENERO ESPERANDO LA MODIFICACION DEL FORMULARIO DE PRECIOS Y CANTIDADES</t>
  </si>
  <si>
    <t>0034</t>
  </si>
  <si>
    <t>GHA0199</t>
  </si>
  <si>
    <t>FR-800-GAGHA-0092-2022</t>
  </si>
  <si>
    <t>800-CMA-1913-2021</t>
  </si>
  <si>
    <t>Realizar las actividades necesarias para llevar a cabo las adecuaciones locativas y matenimientos preventivos y correctivos en la Gerencia de Unidad Estrategica de Negocio de Telecomunicaciones.</t>
  </si>
  <si>
    <t>31 de juniio 2022</t>
  </si>
  <si>
    <t>0035</t>
  </si>
  <si>
    <t>GHA0195
GHA0197</t>
  </si>
  <si>
    <t>FR-800-GAGHA-0093-2022</t>
  </si>
  <si>
    <t>Realizar las actividades necesarias para llevar a cabo las adecuaciones locativas y mantenimiento preventivos y correctivos</t>
  </si>
  <si>
    <t>30 de junio 2022</t>
  </si>
  <si>
    <t>202201179
202201180</t>
  </si>
  <si>
    <t>0036</t>
  </si>
  <si>
    <t>GAA0222</t>
  </si>
  <si>
    <t>FR-300-GAA-0004-2022</t>
  </si>
  <si>
    <t>300-CMA-1714-2019</t>
  </si>
  <si>
    <t>Suministro de Alcalinizante para las Plantas de Tratamiento de Agua Potable de la Unidad de Producción de Agua Potable: Cal Viva.</t>
  </si>
  <si>
    <t>OPERACIÓN</t>
  </si>
  <si>
    <t>0037</t>
  </si>
  <si>
    <t>GHA0048</t>
  </si>
  <si>
    <t>FR-800-GAGHA-0097-2022</t>
  </si>
  <si>
    <t>Suministrar dotación de calzado a los Servidores Públicos de EMCALI EICE ESP.</t>
  </si>
  <si>
    <t>21 de enero se envio a marcia para la revision de la invitacion 
24 DE ENERO EN INVITACION A OFERTAR
25 de enero en aceptacion de la oferta
26 de enero para la firma de la aceptacion de la oferta
28 DE ENERO EN SOLICITUD DE REGISTRO Y POLIZAS</t>
  </si>
  <si>
    <t>2021-375</t>
  </si>
  <si>
    <t>20 de diciembre 2021</t>
  </si>
  <si>
    <t>0038</t>
  </si>
  <si>
    <t>GHA0055</t>
  </si>
  <si>
    <t>FR-800-GAGHA-0098-2022</t>
  </si>
  <si>
    <t>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t>
  </si>
  <si>
    <t>JULIO GARCIA</t>
  </si>
  <si>
    <t>21 DE ENERO EN REVISION DE LA COTIZACIONES
24 DE ENERO SE RECIBEN COTIZACIONES
26 DE ENERO EN ELABORACION DE LA  EVALUACION 
28 de enero en revision de evaluacion</t>
  </si>
  <si>
    <t>0039</t>
  </si>
  <si>
    <t>GHA0216</t>
  </si>
  <si>
    <t>FR-800-GAGHA-0094-2022</t>
  </si>
  <si>
    <t>Compra de articulos de papelería (cajas de archivo No 12) para las dependencias de EMCALI EICE ESP.</t>
  </si>
  <si>
    <t>15 de marzo 2022</t>
  </si>
  <si>
    <t>21 DE ENERO EN REVISION DE LA INVITACION
24 DE ENERO EN RECEPCION DE OFERTAS
26 DE ENERO EN APROBACION DE POLIZAS
28 de enero entregado al area</t>
  </si>
  <si>
    <t>2022-015</t>
  </si>
  <si>
    <t>7 de enero 2022</t>
  </si>
  <si>
    <t>0040</t>
  </si>
  <si>
    <t>GHA0061</t>
  </si>
  <si>
    <t>FR-800-GAGHA-0100-2022</t>
  </si>
  <si>
    <t>Realizar toma de pruebas de alcohol, pruebas de sustancias psicoactivas y verificación de las pruebas.</t>
  </si>
  <si>
    <t>900-IP-0106-2021</t>
  </si>
  <si>
    <t xml:space="preserve">19 DE ENERO 2022 REASIGNARON EL PROCESO A MARIO AREVALO
21 DE ENERO EN COTIZACIONES
24 DE ENERO SE RECIBEN LAS COTIZACIONES
26 DE ENERO EN RECEPCION DE OFERTAS
28 DE ENERO EN REVISION DE LA  EVALUACION </t>
  </si>
  <si>
    <t>0041</t>
  </si>
  <si>
    <t>GHA0087</t>
  </si>
  <si>
    <t>FR-800-GAGHA-0075-2022</t>
  </si>
  <si>
    <t>Garantizar el suministro de repuestos requeridos para llevar a cabo mantenimientos correctivos y/o preventivos a los equipos de Presión - Succión que hacen parte del Parque Automotor de EMCALI EICE ESP</t>
  </si>
  <si>
    <t>900-IP-0080-2021</t>
  </si>
  <si>
    <t>se reasigna proceso a lina echavarria el 19 de enero 2021
21 de enero en espera de la cotizacion
24 DE ENERO EN REVISION DE LA FPA
26 DE ENERO EN REVISION DE LA EVALUACION
28 DE ENERO EN APROBACION DE POLIZAS Y A LA ESPERA DEL RP</t>
  </si>
  <si>
    <t>2021-368</t>
  </si>
  <si>
    <t>0042</t>
  </si>
  <si>
    <t>GHA0072</t>
  </si>
  <si>
    <t>FR-800-GAGHA-0073-2022</t>
  </si>
  <si>
    <t>Realizar el servicio de control de plagas que involucre cada uno de los bienes inmuebles de propiedad de EMCALI EICE ESP o que le sean entregados para su custodia, ubicados en el municipio Santiago de Cali y Municipios del área de influencia.</t>
  </si>
  <si>
    <t>900-IP-0090-2021</t>
  </si>
  <si>
    <t>19 DE ENERO 2022 REASIGNARON EL PROCESO A MARIO AREVALO
21 DE ENERO EN COTIZACIONES
24 DE ENERO SE RECIBEN LAS COTIZACIONES
28 DE ENERO EN ELABORACION DE LA EVALUACION</t>
  </si>
  <si>
    <t>0043</t>
  </si>
  <si>
    <t>GE0246</t>
  </si>
  <si>
    <t>FR-500-GE-0117-2022</t>
  </si>
  <si>
    <t>Suministro de radios de comunicación portatiles</t>
  </si>
  <si>
    <t>900-IP-0131-2022</t>
  </si>
  <si>
    <t>21 de enero en solicitud de conceptos
24 de enero en recepcion de cotizaciones
26 de enero en revision de la evaluacion
28 de enero en evaluacion esperando la revision de la evaluacion
26 de enero en aceptacion
en solicitud de la aceptacion de la oferta</t>
  </si>
  <si>
    <t>2022-014</t>
  </si>
  <si>
    <t>0044</t>
  </si>
  <si>
    <t>GHA1600</t>
  </si>
  <si>
    <t>FR-800-GAGHA-0095-2022</t>
  </si>
  <si>
    <t>Jabon liquido espumoso para manos</t>
  </si>
  <si>
    <t>900-IP-0092-2022</t>
  </si>
  <si>
    <t>24 DE ENERO SE ENVIO LA INVITACION A OFERTAR AL PROVEEDOR
27 DE ENERO SE DEVOLVIO AL AREA</t>
  </si>
  <si>
    <t>0045</t>
  </si>
  <si>
    <t>GE0307</t>
  </si>
  <si>
    <t>FR-500-GE-0121-2022</t>
  </si>
  <si>
    <t>Suministro de sello de seguridad</t>
  </si>
  <si>
    <t>90 dias</t>
  </si>
  <si>
    <t>900-IP-0109-2022</t>
  </si>
  <si>
    <t>SILVIA GALINDO</t>
  </si>
  <si>
    <t>24 DE ENERO EN COTIZACIONES
26 de enero en revision de la fpa e invitacion
28 DE ENERO EN RECEPCION DE OFERTAS
EN REVISION DE LA EVALUACION</t>
  </si>
  <si>
    <t>2022-023</t>
  </si>
  <si>
    <t>0046</t>
  </si>
  <si>
    <t>GE0278</t>
  </si>
  <si>
    <t>FR-500-GE-0107-2022</t>
  </si>
  <si>
    <t>Suministro de cajas hermeticas</t>
  </si>
  <si>
    <t>900-IP-0130-2022</t>
  </si>
  <si>
    <t>21 de enero en solicitud de conceptos
24 de enero en recepcion de cotizaciones
26 de enero en aceptacion
esperando revision de la aceptacion</t>
  </si>
  <si>
    <t>0047</t>
  </si>
  <si>
    <t>GE0204</t>
  </si>
  <si>
    <t>FR-500-GE-0108-2022</t>
  </si>
  <si>
    <t>Suministro de modems 4G</t>
  </si>
  <si>
    <t>900-IP-0129-2022</t>
  </si>
  <si>
    <t>21 de enero en solicitud de conceptos
24 de enero en recepcion de cotizaciones
26 de enero en revision de la evaluacion
28 de enero solicitud de registro y polizas
en aprobacion de polizas</t>
  </si>
  <si>
    <t>0048</t>
  </si>
  <si>
    <t>GE0299</t>
  </si>
  <si>
    <t>FR-500-GE-0110-2022</t>
  </si>
  <si>
    <t>Calibración de tres (3) Hidrómetros marca Thomas Scientific Modelo ASTM 85H/86H/87H y un Termo Hidrómetro Barómetro, del Laboratorio de Ensayos a Aceites Dieléctricos de EMCALI EICE ESP.</t>
  </si>
  <si>
    <t>15 de diciembre 2022</t>
  </si>
  <si>
    <t>900-IP-0115-2022</t>
  </si>
  <si>
    <t xml:space="preserve">JHON LARRY </t>
  </si>
  <si>
    <t>21 de enero en solicitud de conceptos
24 DE ENERO EN REVISION DE FPA E INVITACION
26 DE ENERO EN REVISION DE LA EVALUACION
27 de enero continua en evaluacin esperando los subsanables
28 de enero en solicitud de registro presupuestal</t>
  </si>
  <si>
    <t>0049</t>
  </si>
  <si>
    <t>GE0300</t>
  </si>
  <si>
    <t>FR-500-GE-0111-2022</t>
  </si>
  <si>
    <t>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t>
  </si>
  <si>
    <t>900-IP-0116-2022</t>
  </si>
  <si>
    <t>21 de enero en solicitud de conceptos
24 DE ENERO EN REVISION DE FPA E INVITACION
26 DE ENERO EN REVISION DE LA EVALUACION
28 de enero en solicitud de polizas y rp</t>
  </si>
  <si>
    <t>0050</t>
  </si>
  <si>
    <t>GE0302</t>
  </si>
  <si>
    <t>FR-500-GE-0114-2022</t>
  </si>
  <si>
    <t>Mnatenimiento a equipos de Calibración</t>
  </si>
  <si>
    <t>900-IP-0117-2022</t>
  </si>
  <si>
    <t xml:space="preserve">21 de enero en solicitud de conceptos
24 DE ENERO YA SE ELABORARON LA INVITACION Y LA FPA, SE ESTA A LA ESPERA DEL REGISTRO DE PROVEEDORES
26 DE ENERO EN REVISION DE LA EVALUACION
28 de enero en solicitud de la numeracion de la aceptacion y solicitud de rp
</t>
  </si>
  <si>
    <t>0051</t>
  </si>
  <si>
    <t>GE0303</t>
  </si>
  <si>
    <t>FR-500-GE-0115-2022</t>
  </si>
  <si>
    <t>Calibración de Instrumentos y Equipos de Laboratorio</t>
  </si>
  <si>
    <t>900-IP-0107-2022</t>
  </si>
  <si>
    <t>24 DE ENERO EN COTIZACIONES
Problema con la cotizacion porque el laboratorio encargado no ha enviado la cotizacion y estan ajustando las especificaciones
28 DE ENERO EN COTIZACIONES NO SE HA RECIBIDO RESPUES DEL PROVEEDOR</t>
  </si>
  <si>
    <t>0052</t>
  </si>
  <si>
    <t>GE0304</t>
  </si>
  <si>
    <t>FR-500-GE-0116-2022</t>
  </si>
  <si>
    <t>Calibración de equipos de prueba de medidores - EPM y un Patrón Trifásico Multifunción, en la magnitud de nergía eléctrica.</t>
  </si>
  <si>
    <t>900-IP-0108-2022</t>
  </si>
  <si>
    <t>24 DE ENERO EN COTIZACIONES
26 de enero el proveedor no ha enviado la cotizacion
28 DE ENERO EN COTIZACIONES NO SE HA RECIBIDO RESPUES DEL PROVEEDOR</t>
  </si>
  <si>
    <t>0053</t>
  </si>
  <si>
    <t>GE0309</t>
  </si>
  <si>
    <t>FR-500-GE-0126-2022</t>
  </si>
  <si>
    <t>Suministro de cajas metalicas para medidores</t>
  </si>
  <si>
    <t>900-IP-0119-2022</t>
  </si>
  <si>
    <t>21 de enero en solicitud de conceptos
24 DE ENERO EN COTIZACIONES
26 DE ENERO EN RECEPCION DE OFERTAS PENDIENTE REGISTRO DE PROVEEDORES
27 de enero en recepcion de ofertas
28 DE ENERO EN ELABORACION DE LA EVALUCION</t>
  </si>
  <si>
    <t>0054</t>
  </si>
  <si>
    <t>GE0236</t>
  </si>
  <si>
    <t>FR-500-GE-0125-2022</t>
  </si>
  <si>
    <t>Suministro de cajas Policarbonato</t>
  </si>
  <si>
    <t>900-IP-0110-2022</t>
  </si>
  <si>
    <t>24 DE ENERO EN COTIZACIONES
26 de enero en elaboracion de fpa e invitacion
28 DE ENERO EN RECEPCION DE OFERTAS</t>
  </si>
  <si>
    <t>2022-025</t>
  </si>
  <si>
    <t>0055</t>
  </si>
  <si>
    <t>GE0201</t>
  </si>
  <si>
    <t>FR-500-GE-0119-2022</t>
  </si>
  <si>
    <t>Suministro sellos de bornera para medidor de energía</t>
  </si>
  <si>
    <t>1 mes</t>
  </si>
  <si>
    <t>900-IP-0118-2022</t>
  </si>
  <si>
    <t>21 de enero en solicitud de conceptos
24 DE ENERO EN COTIZACIONES
26 DE ENERO EN RECECION DE OFERTAS
EN SOLICITUD DE REGISTRO Y POLIZAS</t>
  </si>
  <si>
    <t>2021-388</t>
  </si>
  <si>
    <t>0056</t>
  </si>
  <si>
    <t>GAA0350</t>
  </si>
  <si>
    <t>FR-300-GAA-0007-2022</t>
  </si>
  <si>
    <t>Mantenimiento de Plotter, consecución de repuestos originales e insumos para el correcto funcionamiento del mismo.</t>
  </si>
  <si>
    <t>900-IP-0123-2022</t>
  </si>
  <si>
    <t>IVAN ALDANA</t>
  </si>
  <si>
    <t>24 DE ENERO EN COTIZACIONES
26 DE ENERO EN ELABORACION DE LA EVALUACION
28 de enero en espera de numeracion de la aceptacion</t>
  </si>
  <si>
    <t>0057</t>
  </si>
  <si>
    <t>GAA0220</t>
  </si>
  <si>
    <t>FR-300-GAA-0025-2022</t>
  </si>
  <si>
    <t>300-CMA-1241-2020</t>
  </si>
  <si>
    <t>Suministro de adsorbente para las Planta de Tratamiento de Agua Potable Puerto Mallarino, Rio Cauca y Rio Cali: Carbón Activado.</t>
  </si>
  <si>
    <t>21 de enero en revisionde la invitacion por parte de la jefe</t>
  </si>
  <si>
    <t>2022-031</t>
  </si>
  <si>
    <t>0058</t>
  </si>
  <si>
    <t>GAA0218</t>
  </si>
  <si>
    <t>FR-300-GAA-0026-2022</t>
  </si>
  <si>
    <t>300-CMA-1243-2020</t>
  </si>
  <si>
    <t>Suministro de Cloro, para ser utilizado en el Tratamiento de Agua Potable para consumo humano.</t>
  </si>
  <si>
    <t>75 dias</t>
  </si>
  <si>
    <t>2022-034</t>
  </si>
  <si>
    <t>0059</t>
  </si>
  <si>
    <t>GAA0217</t>
  </si>
  <si>
    <t>FR-300-GAA-0027-2022</t>
  </si>
  <si>
    <t>Suministro de Hidróxido de Sodio para ser utilizado en el Tratamiento de Agua Potable para consumo humano.</t>
  </si>
  <si>
    <t>10 dias</t>
  </si>
  <si>
    <t>2022-030</t>
  </si>
  <si>
    <t>0060</t>
  </si>
  <si>
    <t>GAA0223</t>
  </si>
  <si>
    <t>FR-300-GAA-0028-2022</t>
  </si>
  <si>
    <t>300-CMA-1245-2020</t>
  </si>
  <si>
    <t>Suministro de Coagulante para ser utilizado en el Tratamiento de Agua Potable para consumo humano</t>
  </si>
  <si>
    <t>74 dias</t>
  </si>
  <si>
    <t>2022-032</t>
  </si>
  <si>
    <t>0061</t>
  </si>
  <si>
    <t>GAA0221</t>
  </si>
  <si>
    <t>FR-300-GAA-0029-2022</t>
  </si>
  <si>
    <t>300-CMA-1246-2020</t>
  </si>
  <si>
    <t>Suministro de Coagulante para las Plantas Rio Cauca, Rio Cali, La Reforma y La Rivera: Hidroxicloruro de Aluminio.</t>
  </si>
  <si>
    <t>70 dias</t>
  </si>
  <si>
    <t>2022-029</t>
  </si>
  <si>
    <t>0062</t>
  </si>
  <si>
    <t>GG</t>
  </si>
  <si>
    <t>GG0094</t>
  </si>
  <si>
    <t>FR-100-GG-0059-2022</t>
  </si>
  <si>
    <t>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t>
  </si>
  <si>
    <t>21 de enero en cotizaciones
24 DE ENERO EN INVITACION A OFERTAR
26 de enero en revision de la evaluacion 
27 de enero en rp y polizas</t>
  </si>
  <si>
    <t>0063</t>
  </si>
  <si>
    <t>GAA0176</t>
  </si>
  <si>
    <t>FR-300-GAA-0013-2022</t>
  </si>
  <si>
    <t>Restauración losas canal interceptor Sur.</t>
  </si>
  <si>
    <t>6 meses</t>
  </si>
  <si>
    <t>0064</t>
  </si>
  <si>
    <t>GAA0628</t>
  </si>
  <si>
    <t>FR-300-GAA-0014-2022</t>
  </si>
  <si>
    <t>Reposición redes alcantarillado barrio Comuneros I</t>
  </si>
  <si>
    <t>900-IP-0086-2022</t>
  </si>
  <si>
    <t>21 DE ENERO EN REVISION DE LA FPA E INVITACION
24 de enero en invitacion a ofertar
26 de enero en aceptacion
27 de enero en solicitud de polizas y rp</t>
  </si>
  <si>
    <t>0065</t>
  </si>
  <si>
    <t>GAA0162</t>
  </si>
  <si>
    <t>FR-300-GAA-0015-2022</t>
  </si>
  <si>
    <t>Reposición redes alcantarillado barrio Andres Sanin</t>
  </si>
  <si>
    <t>900-IP-0102-2022</t>
  </si>
  <si>
    <t>21 de enero en cotizaciones 
24 DE ENERO EN REVISION DE LA FPA
26 DE ENERO EN REVISION DE LA EVALUACION
27 de enero en solicitud de polizas y registro presupuestal</t>
  </si>
  <si>
    <t>0066</t>
  </si>
  <si>
    <t>GAA0633</t>
  </si>
  <si>
    <t>FR-300-GAA-0016-2022</t>
  </si>
  <si>
    <t>Reposición redes alcantarillado barrio Napoles</t>
  </si>
  <si>
    <t>900-IP-0089-2022</t>
  </si>
  <si>
    <t>24 de enero en invitacion a ofertar
26 de enero en aceptacion
27 de enero en solicitud de polizas y rp</t>
  </si>
  <si>
    <t>300-AO-1308-2022</t>
  </si>
  <si>
    <t>ODBI SAS</t>
  </si>
  <si>
    <t>PEREIRA</t>
  </si>
  <si>
    <t>NACIONAL</t>
  </si>
  <si>
    <t>0067</t>
  </si>
  <si>
    <t>GAA0630</t>
  </si>
  <si>
    <t>FR-300-GAA-0017-2022</t>
  </si>
  <si>
    <t>Reposición redes alcantarillado barrios La Fortaleza y Eucaristico</t>
  </si>
  <si>
    <t>900-IP-0100-2022</t>
  </si>
  <si>
    <t>21 de  enero en revision de la fpa e invitacion
24 DE ENERO EN INVITACION A OFERTAR SE RECIBE MAÑANA
26 DE ENERO EN REVISION DE LA EVALUACION
27 de enero en solicitud de polizas y registro presupuestal</t>
  </si>
  <si>
    <t>0068</t>
  </si>
  <si>
    <t>GAA0160</t>
  </si>
  <si>
    <t>FR-300-GAA-0018-2022</t>
  </si>
  <si>
    <t>Reposición redes alcantarillado barrio El Bosque.</t>
  </si>
  <si>
    <t>900-IP-0096-2022</t>
  </si>
  <si>
    <t>21 de enero en cotizaciones 
24 DE ENERO EN ELABORACION DE LA FPA E INVITACION
26 DE ENERO EN RECEPCION DE OFERTAS
27 de enero en revision de la evaluacion</t>
  </si>
  <si>
    <t>0069</t>
  </si>
  <si>
    <t>GAA0167</t>
  </si>
  <si>
    <t>FR-300-GAA-0019-2022</t>
  </si>
  <si>
    <t>Reposición redes tramos criticos sector La Campiña</t>
  </si>
  <si>
    <t xml:space="preserve">21 de enero en cotizaciones
24 DE ENERO EN INVITACION A OFERTAR
26 de enero en revision de la evaluacion 
27 de enero en rp y polizas
</t>
  </si>
  <si>
    <t>0070</t>
  </si>
  <si>
    <t>GAA0632</t>
  </si>
  <si>
    <t>FR-300-GAA-0021-2022</t>
  </si>
  <si>
    <t>Reposición redes tramos criticos alcantarillado barrio La Selva</t>
  </si>
  <si>
    <t>900-IP-0088-2022</t>
  </si>
  <si>
    <t>0071</t>
  </si>
  <si>
    <t>GAA0159</t>
  </si>
  <si>
    <t>FR-300-GAA-0022-2022</t>
  </si>
  <si>
    <t>Reposición redes de acueducto y alcantarillado barrio Fepicol</t>
  </si>
  <si>
    <t>900-IP-0087-2022</t>
  </si>
  <si>
    <t>0072</t>
  </si>
  <si>
    <t>GAA0166</t>
  </si>
  <si>
    <t>FR-300-GAA-0030-2022</t>
  </si>
  <si>
    <t>Consultoría de diseños de optimización de redes de acueducto 2022 metodologia convencional y No convencional - en sectores priorizados operativamente.</t>
  </si>
  <si>
    <t>900-IP-0082-2022</t>
  </si>
  <si>
    <t>21 de enero en cotizaciones 
24 DE ENERO EN ELABORACION DE LA FPA E INVITACION
26 DE ENERO EN REVISION DE LA EVALUACION
27 de enero en solicitud de polizas y registro presupuestal</t>
  </si>
  <si>
    <t>0073</t>
  </si>
  <si>
    <t>GAA0357</t>
  </si>
  <si>
    <t>FR-300-GAA-0011-2022</t>
  </si>
  <si>
    <t>Mantenimiento correctivo y preventivo de todos los equipos con Circuito Cerrado de Television para inspeccion de redes de alcantarillado.</t>
  </si>
  <si>
    <t>900-IP-0124-2022</t>
  </si>
  <si>
    <t>24 DE ENERO EN COTIZACIONES
26 de enero en revision de la fpa e invitacion
28 de enero en recepcion de ofertas</t>
  </si>
  <si>
    <t>0074</t>
  </si>
  <si>
    <t>GAA0360</t>
  </si>
  <si>
    <t>FR-300-GAA-0012-2022</t>
  </si>
  <si>
    <t>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t>
  </si>
  <si>
    <t xml:space="preserve">21 de enero en solicitud de conceptos
24 de enero en recepcion de cotizaciones
26 DE ENERO EN ELABORACION DE LA  EVALUACION 
28 de enero para firma de la aceptacion
</t>
  </si>
  <si>
    <t>0075</t>
  </si>
  <si>
    <t>GAA0355</t>
  </si>
  <si>
    <t>FR-300-GAA-0005-2022</t>
  </si>
  <si>
    <t>Mantenimiento equipos menores (martillos, guadañas,mezcladoras,blowers saltarines, compresores y otros) utilizados en la reparación de daños y en las labores de matenimiento del servicio de alcantarillado del Departamento de Recolección.</t>
  </si>
  <si>
    <t xml:space="preserve">21 de enero en cotizaciones 
24 DE ENERO EN ELABORACION DE LA FPA E INVITACION
26 DE ENERO EN REVISION DE LA EVALUACION
27 de enero en solicitud de polizas y registro presupuestal
</t>
  </si>
  <si>
    <t>0076</t>
  </si>
  <si>
    <t>GAA0631</t>
  </si>
  <si>
    <t>FR-300-GAA-0024-2022</t>
  </si>
  <si>
    <t>Reposición redes alcantarillado barrio La Paz Comuna 02</t>
  </si>
  <si>
    <t>0077</t>
  </si>
  <si>
    <t>GAA0634</t>
  </si>
  <si>
    <t>FR-300-GAA-0023-2022</t>
  </si>
  <si>
    <t>Reposición redes alcantarillado barrios Navarro La Chanca</t>
  </si>
  <si>
    <t xml:space="preserve">21 de enero en cotizaciones
24 DE ENERO EN INVITACION A OFERTAR
26 de enero en revision de la evaluacion 
27 de enero en Rp y polizas
</t>
  </si>
  <si>
    <t>0078</t>
  </si>
  <si>
    <t>GAA0358</t>
  </si>
  <si>
    <t>FR-300-GAA-0010-2022</t>
  </si>
  <si>
    <t>Efectuar el aseo y la limpieza de las estructuras desarenadoras de la ciudad de Cali, y principalmente las estructuras desarenadoras de Guarrus y El Indio.</t>
  </si>
  <si>
    <t>900-IP-0105-2022</t>
  </si>
  <si>
    <t>0079</t>
  </si>
  <si>
    <t>GAA0352</t>
  </si>
  <si>
    <t>FR-300-GAA-0008-2022</t>
  </si>
  <si>
    <t>Efectuar la limpieza por barrido de los Sumideros de la Ciudad de Cali</t>
  </si>
  <si>
    <t>900-IP-0104-2022</t>
  </si>
  <si>
    <t>M</t>
  </si>
  <si>
    <t>0080</t>
  </si>
  <si>
    <t>GAA0354</t>
  </si>
  <si>
    <t>FR-300-GAA-0006-2022</t>
  </si>
  <si>
    <t>Mnatenimiento de las lagunas Charco Azul y El Pondaje.</t>
  </si>
  <si>
    <t>21 de enero en cotizaciones
24 DE ENERO EN INVITACION A OFERTAR
26 de enero para firma de la aceptacion de la oferta
27 de enero en Rp y polizas</t>
  </si>
  <si>
    <t>0081</t>
  </si>
  <si>
    <t>GAA0353</t>
  </si>
  <si>
    <t>FR-300-GAA-0009-2022</t>
  </si>
  <si>
    <t>Efectuar el aseo y limpieza de canales a mano de la ciudad de Cali.</t>
  </si>
  <si>
    <t>900-IP-0084-2022</t>
  </si>
  <si>
    <t>0082</t>
  </si>
  <si>
    <t>GE0308</t>
  </si>
  <si>
    <t>FR-500-GE-0122-2022</t>
  </si>
  <si>
    <t>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t>
  </si>
  <si>
    <t>900-IP-0121-2020</t>
  </si>
  <si>
    <t>LAURA PIMIENTA</t>
  </si>
  <si>
    <t>21 DE ENERO EN SOLCITIUD DE CONCEPTOS
24 de enero en elaboracion de fpa e invitacion
26 de enero se devuelve porque no cumple con las condiciones de ser proveedor unico
27 de enero se re abree el preoceso por orden del gerente Jorge y Marino
27 de enero en recepcion de ofertas
28 DE ENERO EN RECEPCION DE OFERTAS</t>
  </si>
  <si>
    <t>0083</t>
  </si>
  <si>
    <t>GE0229</t>
  </si>
  <si>
    <t>FR-500-GE-0123-2022</t>
  </si>
  <si>
    <t>Suministro de Fusibles de T de Media Tension.</t>
  </si>
  <si>
    <t>900-IP-0111-2022</t>
  </si>
  <si>
    <t>24 DE ENERO EN COTIZACIONES
26 de enero en elaboracion de fpa e invitacion
28 DE ENERO EN ELABORACION DE LA FPA</t>
  </si>
  <si>
    <t>0084</t>
  </si>
  <si>
    <t>GAA0640</t>
  </si>
  <si>
    <t>FR-300-GAA-0020-2022</t>
  </si>
  <si>
    <t>Reposición redes alcantarillado barrio La Merced</t>
  </si>
  <si>
    <t>900-IP-0122-2022</t>
  </si>
  <si>
    <t>0085</t>
  </si>
  <si>
    <t>GHA0086</t>
  </si>
  <si>
    <t>FR-800-GAGHA-0124-2022</t>
  </si>
  <si>
    <t>Realizar el suministro e instalación de llantas nuevas (incluye neumático y protector), rines,válvulas, neumáticos y protectores nuevos, marcación, alineación, balanceo y rotación de llantas, a la inmediatez de la necesidad para el Parque Automotor de EMCALI EICE ESP.</t>
  </si>
  <si>
    <t>900-IP-0128-2022</t>
  </si>
  <si>
    <t xml:space="preserve">24 DE ENERO EN SOLICITUD DE CONCEPTOS
26 de enero en solicitud de cotizaciones
28 de enero solciitud de devolucion por parte del area para ajustar el presupuesto 
se devuelve el proceso porque el proveedor  o
</t>
  </si>
  <si>
    <t>0086</t>
  </si>
  <si>
    <t>GAA0345</t>
  </si>
  <si>
    <t>FR-300-GAA-0032-2022</t>
  </si>
  <si>
    <t>Monitoreo de vertimientos finales al sistema de drenaje de la ciudad de Cali.</t>
  </si>
  <si>
    <t>24 de enero en recepcion de cotizaciones
26 DE ENERO EN ELABORACION DE LA  EVALUACION 
28 de enero para firma de la aceptacion</t>
  </si>
  <si>
    <t>0087</t>
  </si>
  <si>
    <t>Suministro de conectores para realizar empalme de conductores de cobre en cables multipares de uso en la red de planta externa requeridos para el mantenimiento de las redes de acceso de la GUENTIC.</t>
  </si>
  <si>
    <t>21 DE ENERO PARA FIRMA DE JEFE JORGE DE LA FPA E INVITACION. Este proceso de devolvio porque se tuvo que modificar el formulario de precios y cantidades, se recibio nuevamente con el mismo numero unico y PACC
24 de enero en recepcion de ofertas
26 de enero en revision de la evaluacion
28 de enero en espera de la numeracion de la aceptacion 
aporbacion de polizas</t>
  </si>
  <si>
    <t>0088</t>
  </si>
  <si>
    <t>GE0298</t>
  </si>
  <si>
    <t>FR-500-GE-0109-2022</t>
  </si>
  <si>
    <t>Suministro de Medidores de Energía Electronicos Monofasico-Bifasico-Trifasico para Medida Directa.</t>
  </si>
  <si>
    <t>26 de enero en revision de la  evaluacion
27 de enero en Rp y polizas</t>
  </si>
  <si>
    <t>0089</t>
  </si>
  <si>
    <t>GE0287</t>
  </si>
  <si>
    <t>FR-500-GE-0156-2022</t>
  </si>
  <si>
    <t>Suministro DDP de reconectadores de 13,2 KV y 34,5 KV de las características técnicas que se indican en las especificaciones técnicas</t>
  </si>
  <si>
    <t>0090</t>
  </si>
  <si>
    <t>GT0188</t>
  </si>
  <si>
    <t>FR-400-GT-0006-2022</t>
  </si>
  <si>
    <t>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t>
  </si>
  <si>
    <t>26 DE ENERO EN REVISION DE LA INVITACION Y FPA
28 DE ENERO EN REVISION DE LA EVALUACION</t>
  </si>
  <si>
    <t>0091</t>
  </si>
  <si>
    <t>GE0256</t>
  </si>
  <si>
    <t>FR-500-GE-0128-2022</t>
  </si>
  <si>
    <t>Realizar mediciones ambientales de ruido y de campos electromagnéticos en subestaciones de energía y lineas de Subtransmisión a 115 Kv.</t>
  </si>
  <si>
    <t>900-IP-0136-2022</t>
  </si>
  <si>
    <t xml:space="preserve">26 DE ENERO EN COTIZACIONES
28 de enero en solicitud de cotizaciones </t>
  </si>
  <si>
    <t>500-AO-1375-2022</t>
  </si>
  <si>
    <t>0092</t>
  </si>
  <si>
    <t>GE0305</t>
  </si>
  <si>
    <t>FR-500-GE-0118-2022</t>
  </si>
  <si>
    <t>Suministro de CONECTORES, de acuerdo con las condiciones y especificaciones técnicas.</t>
  </si>
  <si>
    <t xml:space="preserve">26 DE ENERO EN ELABORACION DE LA FPA E INVITACION
28 DE ENERO EN REVISION DE LA INVITACION </t>
  </si>
  <si>
    <t>OPERACIÓN
FUNCIONAMIENTO
INVERSION</t>
  </si>
  <si>
    <t>0093</t>
  </si>
  <si>
    <t>GHA0013</t>
  </si>
  <si>
    <t>FR-800-GAGHA-0080-2022</t>
  </si>
  <si>
    <t>Elaborar y entregar recordatorios y botones fundidos y grabados con el logo de EMCALI EICE ESP.</t>
  </si>
  <si>
    <t>26 DE ENERO EN REVISION DE LA INVITACION Y FPA
28 DE ENERO EN REVISION DE LA INVITACION</t>
  </si>
  <si>
    <t>0094</t>
  </si>
  <si>
    <t>FR-200-GTI-0004-2022</t>
  </si>
  <si>
    <t>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t>
  </si>
  <si>
    <t>900-IP-0139-2022</t>
  </si>
  <si>
    <t>26 de enero en recepcion de ofertas
28 DE ENERO EN ELABORACION DE LA EVALUACION</t>
  </si>
  <si>
    <t>0095</t>
  </si>
  <si>
    <t>GTI0045</t>
  </si>
  <si>
    <t>FR-200-GTI-0005-2022</t>
  </si>
  <si>
    <t>Activar y configurar un módulo de firmado electrónico de pagarés para los procesos financieros que cuente con el sustento jurídico y la custodia de la copia de respaldo de los documentos firmados.</t>
  </si>
  <si>
    <t>900-IP-0146-2022</t>
  </si>
  <si>
    <t>26 de enero en recepcion de ofertas
28 DE ENERO EN ELABORACION DE LA EVALUACION
solicitud de numeracion</t>
  </si>
  <si>
    <t>0096</t>
  </si>
  <si>
    <t>FR-200-GTI-0014-2022</t>
  </si>
  <si>
    <t>Licenciamiento por suscripción del software tpo cloud para "Gateway de integración loT para la infraestructura de dispositivos remotos" y apoyo en las configuraciones e implementación de los dispositivos sobre la herramienta.</t>
  </si>
  <si>
    <t>900-IP-0147-2022</t>
  </si>
  <si>
    <t>26 de enero para la revision de la fpa e invitacion
28 DE ENERO EN EVALUACION</t>
  </si>
  <si>
    <t>0097</t>
  </si>
  <si>
    <t>GTI0010</t>
  </si>
  <si>
    <t>FR-200-GTI-0019-2022</t>
  </si>
  <si>
    <t>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t>
  </si>
  <si>
    <t>900-IP-0133-2022</t>
  </si>
  <si>
    <t>26 de enero para firma de la aceptacion de la oferta
28 DE ENERO EN RP Y POLIZAS</t>
  </si>
  <si>
    <t>0098</t>
  </si>
  <si>
    <t>GTI0026
GTI0047</t>
  </si>
  <si>
    <t>FR-200-GTI-0072-2022</t>
  </si>
  <si>
    <t>Servicio en la Nube (SAAS) de los aplicativos ARIBA Y SUCCES FACTOR.</t>
  </si>
  <si>
    <t>900-IP-0148-2022</t>
  </si>
  <si>
    <t>202201948
202201950</t>
  </si>
  <si>
    <t>26 DE ENERO EN COTIZACIONES
28 DE ENERO EN RECEPCION DE OFERTAS</t>
  </si>
  <si>
    <t>0099</t>
  </si>
  <si>
    <t>Servicio en Nube de 161 escritorios remotos mensualizado para equipos de cómputo con arquitectura de 32 y 64 bit, que fortalezcan el desarrollo de las actividades de PQRS, CALL CENTER e implementación del proyecto SAP, solicitada por la Gerencia de Comerciales y GTI</t>
  </si>
  <si>
    <t>900-IP-0073-2022</t>
  </si>
  <si>
    <t>26 de enero en recepcion de ofertas</t>
  </si>
  <si>
    <t>0100</t>
  </si>
  <si>
    <t>GTI0028</t>
  </si>
  <si>
    <t>FR-200-GTI-0086-2022</t>
  </si>
  <si>
    <t>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t>
  </si>
  <si>
    <t>900-IP-0149-2022</t>
  </si>
  <si>
    <t>26 DE ENERO EN ELABORACION DE LA FPA E INVITACION
28 DE ENERO EN ELBOTACION DE LA EVALUACION</t>
  </si>
  <si>
    <t>0101</t>
  </si>
  <si>
    <t>GHA0217</t>
  </si>
  <si>
    <t>FR-800-GAGHA-0123-2022</t>
  </si>
  <si>
    <t>Realizar las actividades para llevar a cabo la construcción de cancha sintética y reposición de cerramiento en el Club SOCIAL Y Deportivo de Trabajadores y Pensionados de EMCALI EICE ESP.</t>
  </si>
  <si>
    <t>900-IP-0137-2022</t>
  </si>
  <si>
    <t>26 de enero en recepcion de ofertas
278 de enero en evaluacion</t>
  </si>
  <si>
    <t>0102</t>
  </si>
  <si>
    <t>GE0310</t>
  </si>
  <si>
    <t>FR-500-GE-0159-2022</t>
  </si>
  <si>
    <t>Alquiler de una (1) Unidad Sanitaria Portatil (USP) con lavamanos en la Subestación Alferez</t>
  </si>
  <si>
    <t>900-IP-0138-2022</t>
  </si>
  <si>
    <t>26 DE ENERO EN COTIZACIONES
28 DE ENERO EN INVITACION A OFERTAR
28 de enero en revision de la evaluacion</t>
  </si>
  <si>
    <t>0103</t>
  </si>
  <si>
    <t>GAA0256</t>
  </si>
  <si>
    <t>FR-300-GAA-0033-2022</t>
  </si>
  <si>
    <t>Mantenimiento a sistema variador de velocidad PTAP Puerto Mallarino</t>
  </si>
  <si>
    <t>900-IP-0141-2022</t>
  </si>
  <si>
    <t>26 de enero en recepcion de ofertas
27 de enero en solicitud de polizas y rp</t>
  </si>
  <si>
    <t>0104</t>
  </si>
  <si>
    <t>GE0301</t>
  </si>
  <si>
    <t>FR-500-GE-0112-2022</t>
  </si>
  <si>
    <t>Mantenimiento a equipo de titulación automática y coulómetro, marca Metrohm, del laboratorio de ensayos a aceites dieléctricos de EMCALI EICE ESP.</t>
  </si>
  <si>
    <t>900-IP-0143-2022</t>
  </si>
  <si>
    <t>26 DE ENERO EN COTIZACIONES
28 de enero en recepion de ofertas
REVISION EVALUACION</t>
  </si>
  <si>
    <t>0105</t>
  </si>
  <si>
    <t>GE0306</t>
  </si>
  <si>
    <t>FR-500-GE-0120-2022</t>
  </si>
  <si>
    <t>Ejecutar inspección, mantenimiento y reparación de transformadores de distribución EMCALI EICE ESP, monofásicos y trifásicos, de niveles de tensión 13.2 Kv.</t>
  </si>
  <si>
    <t>26 de enero en cotizaciones
27 de enero en recepcion de ofertas</t>
  </si>
  <si>
    <t>0106</t>
  </si>
  <si>
    <t>GE0231</t>
  </si>
  <si>
    <t>FR-500-GE-0150-2022</t>
  </si>
  <si>
    <t>Suministro de monitor administrador de temperatura de transformadores salida scada.</t>
  </si>
  <si>
    <t>900-IP-0144-2022</t>
  </si>
  <si>
    <t>26 de enero en cotizaciones
28 DE ENERO EN REVISION DE LA FPA E INVITACION</t>
  </si>
  <si>
    <t>0107</t>
  </si>
  <si>
    <t>GAA0265</t>
  </si>
  <si>
    <t>FR-300-GAA-0031-2022</t>
  </si>
  <si>
    <t>Lavado de los reservorios PTAP de Puerto Mallarino</t>
  </si>
  <si>
    <t>900-IP-0140-2022</t>
  </si>
  <si>
    <t>24 de enero en recepcion de ofertas
27 de enero en solicitud de polizas y rp</t>
  </si>
  <si>
    <t>0108</t>
  </si>
  <si>
    <t>GTI0006</t>
  </si>
  <si>
    <t>FR-200-GTI-0012-2022</t>
  </si>
  <si>
    <t xml:space="preserve">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t>
  </si>
  <si>
    <t>900-IP-0145-2022</t>
  </si>
  <si>
    <t>JULIO ERAZO</t>
  </si>
  <si>
    <t xml:space="preserve">28 DE ENERO EN ELABORACION DE LA EVALUACION
en solicitud de RP </t>
  </si>
  <si>
    <t>0109</t>
  </si>
  <si>
    <t>GTI0066</t>
  </si>
  <si>
    <t>FR-200-GTI-0017-2022</t>
  </si>
  <si>
    <t>Prestar los servicios de mantenimiento preventivo en formato 5 x 8 y correctivo sin repuestos en formato 7 x 24, equipo de aire acondicionado portátil (1) incluido para soporte del Centro de Computo del GTI</t>
  </si>
  <si>
    <t>900-IP-0150-2022</t>
  </si>
  <si>
    <t>28 DE ENERO EN ELABORACION DE LA EVALUACION
esperando numeracion de la aceptacion</t>
  </si>
  <si>
    <t>0110</t>
  </si>
  <si>
    <t>GAA0108</t>
  </si>
  <si>
    <t>FR-300-GAA-0034-2022</t>
  </si>
  <si>
    <t>Levantamientos planimetricos y altimetricos topograficos año 2022, para proyectos priorizados GUENAA de acueducto y alcantarillado</t>
  </si>
  <si>
    <t>900-IP-0153-2022</t>
  </si>
  <si>
    <t xml:space="preserve">28 de enero en cotizaciones </t>
  </si>
  <si>
    <t>0111</t>
  </si>
  <si>
    <t>FR-300-GAA-0035-2022</t>
  </si>
  <si>
    <t>Adelantar acompañamiento en Geotecnia incluyendo asesorias, trabajos de campo, ensayos de laboratorio e informes tecnicos requeridos para el desarrollo de evaluaciones geotecnicas 2022</t>
  </si>
  <si>
    <t>900-IP-0154-2022</t>
  </si>
  <si>
    <t>0112</t>
  </si>
  <si>
    <t>GTI0037</t>
  </si>
  <si>
    <t>Servicios profesionales especializados en tecnologías de la información y las comunicaciones, para ejecutar actividades de soporte y mantenimiento para aplicativo Liferay portal de internet</t>
  </si>
  <si>
    <t>30  de julio 2022</t>
  </si>
  <si>
    <t>900-IP-0075-2022</t>
  </si>
  <si>
    <t>0113</t>
  </si>
  <si>
    <t>GAA0298</t>
  </si>
  <si>
    <t>FR-300-GAA-0036-2022</t>
  </si>
  <si>
    <t>Reparación de daños en red matriz mayores o iguales a 12"</t>
  </si>
  <si>
    <t>Inicio Proceso</t>
  </si>
  <si>
    <t>0114</t>
  </si>
  <si>
    <t>GTI0048</t>
  </si>
  <si>
    <t>Realizar procesos de mejoramiento y desarrollo de Software, que permita contar con trámites de cara al ciudadano más automatizados desde el portal web de EMCALI</t>
  </si>
  <si>
    <t>900-IP-0155-2022</t>
  </si>
  <si>
    <t>28 DE ENERO EN ELABOACION DE LA EVALUACION</t>
  </si>
  <si>
    <t>0115</t>
  </si>
  <si>
    <t>Compra de jabón líquido espumoso para manos</t>
  </si>
  <si>
    <t>28 de enero en elabroacion de fpa e invitacion
31 DE ENERO DEVUELTO AL AREA POR CUMPLIMIENTO DE PLAZO LEY DE GARANTIAS</t>
  </si>
  <si>
    <t>0116</t>
  </si>
  <si>
    <t>GHA0006</t>
  </si>
  <si>
    <t>FR-800-GAGHA-0121-2022</t>
  </si>
  <si>
    <t>Realizar piezas publicitarias para la campaña de comunicación del proyecto de implementación del sistema integral de gestión de activos SIGA.</t>
  </si>
  <si>
    <t>0117</t>
  </si>
  <si>
    <t>GE0230</t>
  </si>
  <si>
    <t>FR-500-GE-0161-2022</t>
  </si>
  <si>
    <t>Suministro de protecciones</t>
  </si>
  <si>
    <t xml:space="preserve">60 dias </t>
  </si>
  <si>
    <t xml:space="preserve">28 DE ENERO EN COTIZACIONES
</t>
  </si>
  <si>
    <t>0118</t>
  </si>
  <si>
    <t>GE0215</t>
  </si>
  <si>
    <t>FR-500-GE-0177-2022</t>
  </si>
  <si>
    <t>Suministro de aisladores electricos</t>
  </si>
  <si>
    <t>0119</t>
  </si>
  <si>
    <t>GE0184</t>
  </si>
  <si>
    <t>FR-500-GE-0187-2022</t>
  </si>
  <si>
    <t>Mnatenimiento general de las plantas de emergencia de las Subestaciones de Energía del Sistema de Distribución de Local de EMCALI EICE ESP.</t>
  </si>
  <si>
    <t>0120</t>
  </si>
  <si>
    <t>GE0311</t>
  </si>
  <si>
    <t>Indicador</t>
  </si>
  <si>
    <t>Motivo retraso</t>
  </si>
  <si>
    <t>NN</t>
  </si>
  <si>
    <t>(Todas)</t>
  </si>
  <si>
    <t xml:space="preserve">Suma de Valor </t>
  </si>
  <si>
    <t>Suma de No. 
de días</t>
  </si>
  <si>
    <t xml:space="preserve">Suma de No. </t>
  </si>
  <si>
    <t xml:space="preserve">Promedio de No. </t>
  </si>
  <si>
    <t>Suma de Valor Ahorro</t>
  </si>
  <si>
    <t>800-AO-1041-2022</t>
  </si>
  <si>
    <t>AS DISTRIBUCION INSTITUCIONAL SAS</t>
  </si>
  <si>
    <t>900-IP-0076-2022</t>
  </si>
  <si>
    <t>30 de diciembre se publico
21 de enero se encuentra suspendido a la espera del tramite de la vigencia futura y presupuesto</t>
  </si>
  <si>
    <t>400-AO-1313-2022</t>
  </si>
  <si>
    <t>INGENIERIA DE SISTEMAS TELEMATICOS SA</t>
  </si>
  <si>
    <t>400-AO-1044-2022</t>
  </si>
  <si>
    <t>SOLUCIONES DE TECNOLOGIA DE INGENIERIA SAS</t>
  </si>
  <si>
    <t>400-AO-1366-2022</t>
  </si>
  <si>
    <t>MATRIX TELECOM LTDA</t>
  </si>
  <si>
    <t>400-AO-1469-2022</t>
  </si>
  <si>
    <t>IMEVALLE SAS</t>
  </si>
  <si>
    <t>400-AO-1567-2022</t>
  </si>
  <si>
    <t>DISTRIELECTRICOS MAVI SAS</t>
  </si>
  <si>
    <t>BOGOTA</t>
  </si>
  <si>
    <t>YUMBO</t>
  </si>
  <si>
    <t>MUNICIPAL</t>
  </si>
  <si>
    <t>SANTANDER DE QUILICHAO</t>
  </si>
  <si>
    <t>300-AO-1325-2022</t>
  </si>
  <si>
    <t>FERNANCO CAIDEDO SUAREZ</t>
  </si>
  <si>
    <t>900-AO-1314-2022</t>
  </si>
  <si>
    <t>INFORMA COLOMBIA SA</t>
  </si>
  <si>
    <t>800-AO-1312-2022</t>
  </si>
  <si>
    <t>MONICA ALAJENADRA LOZANO</t>
  </si>
  <si>
    <t xml:space="preserve">BOGOTA </t>
  </si>
  <si>
    <t xml:space="preserve">21  enero en revision de la invitacion 
24 DE ENERO EN RECEPCION DE OFERTAS
26 DE ENERO EN REVISION DE LA EVALUACION ( pendiente confirmacion si se suspende por solicitud del area)
28 de enero en aprobacion de polizas y solicitud de rp
En aprobacion de polizas
</t>
  </si>
  <si>
    <t>800-AO-1345-2022</t>
  </si>
  <si>
    <t>SPECTRA INGENIERIA SAS</t>
  </si>
  <si>
    <t>800-AO-1342-2022</t>
  </si>
  <si>
    <t>LILI JOHANA SERNA MACHADO</t>
  </si>
  <si>
    <t>800-AO-1338-2022</t>
  </si>
  <si>
    <t>IDENTIFICACION DE COLOMBIA SAS</t>
  </si>
  <si>
    <t>800-AO-1377-2022</t>
  </si>
  <si>
    <t>COMPAÑÍA PARA LA CONSTRUCCION ESTUFDIOS TECNICOS MAQUINARIA Y MANTENIMIENTO PARA LA INGENIERIA  ARQUITECTURA Y OBRAS CIVILES SAS</t>
  </si>
  <si>
    <t>800-AO-1478-2022</t>
  </si>
  <si>
    <t>CENTRO AUTOMOTRIZ DE REPARACION  Y SERVICIOS LTDA  CARS LTDA</t>
  </si>
  <si>
    <t>800-CMA-1925-2021/800-AO-1670-2022</t>
  </si>
  <si>
    <t>CONSORCIO DOMAQ 2021</t>
  </si>
  <si>
    <t>800-CMA-1914-2021/800-AO-1667-2022</t>
  </si>
  <si>
    <t>UNION TEMPORAL M&amp;C2021</t>
  </si>
  <si>
    <t>800-CMA-1916-2021/800-AO-1669-2022</t>
  </si>
  <si>
    <t>CONSORCIO IGS 2021</t>
  </si>
  <si>
    <t>800-CMA-1913-2021/800-AO-1666-2022</t>
  </si>
  <si>
    <t>GUSTAVO ADOLFO TORRES DUARTE</t>
  </si>
  <si>
    <t>800-CMA-1914-2021/800-AO-1668-2022</t>
  </si>
  <si>
    <t>UNION TEMPORAL  M&amp;C2021</t>
  </si>
  <si>
    <t>300-CMA-1714-2019/300-AO-1042-2022</t>
  </si>
  <si>
    <t>CALES DE COLOMBIA SA</t>
  </si>
  <si>
    <t>900-IP-0091-2022</t>
  </si>
  <si>
    <t>800-AO-1340-2022</t>
  </si>
  <si>
    <t>STATON SAS</t>
  </si>
  <si>
    <t>800-AO-1468-2022</t>
  </si>
  <si>
    <t>UNIDAD DE SALUD OCUPACIONAL SAS</t>
  </si>
  <si>
    <t>2021-380</t>
  </si>
  <si>
    <t>MEDELLIN</t>
  </si>
  <si>
    <t>800-AO-1512-2022</t>
  </si>
  <si>
    <t>CEMSO SAS</t>
  </si>
  <si>
    <t>800-AO-1316-2022</t>
  </si>
  <si>
    <t>SERVICIOS TECNICOS E INGENIERIA (SETINGE LTDA)</t>
  </si>
  <si>
    <t>800-AO-1513-2022</t>
  </si>
  <si>
    <t>INTERNATIONAL PETS LEANING SAS</t>
  </si>
  <si>
    <t>500-AO-1456-2022</t>
  </si>
  <si>
    <t>RADIONET SOLUCIONES SA</t>
  </si>
  <si>
    <t>500-AO-1510-2022</t>
  </si>
  <si>
    <t>COMERCIO  INTERNACIONAL CONTENEDORES Y TRANSPORTE  SOCIEDAD  POR  ACCIONES SIMPLIFICADA</t>
  </si>
  <si>
    <t>500-AO-1472-2022</t>
  </si>
  <si>
    <t>SOCIEDAD INDUSTRIAL METAL ELECTRICA SAS</t>
  </si>
  <si>
    <t>500-AO-1365-2022</t>
  </si>
  <si>
    <t>INDUSTRIA ELECTRICA DEL CAUCA SAS</t>
  </si>
  <si>
    <t>500-AO-1428-2022</t>
  </si>
  <si>
    <t>CONAMET SAS</t>
  </si>
  <si>
    <t>500-AO-1341-2022</t>
  </si>
  <si>
    <t>MESURA Y METROLOGIA LTDA</t>
  </si>
  <si>
    <t>MESSEN SAS</t>
  </si>
  <si>
    <t>500-AO-1521-2022</t>
  </si>
  <si>
    <t>INDUSTRIAS REBRA SAS</t>
  </si>
  <si>
    <t>500-AO-1511-2022</t>
  </si>
  <si>
    <t>COMPAC SAS</t>
  </si>
  <si>
    <t>500-AO-1374-2022</t>
  </si>
  <si>
    <t>NORMARH SAS</t>
  </si>
  <si>
    <t>300-AO-1420-2022</t>
  </si>
  <si>
    <t>JARVITH ALONSO QUINTERO</t>
  </si>
  <si>
    <t>300-CMA-1241-2020/300-AO-1371-2022</t>
  </si>
  <si>
    <t>SULFOQUIMICA SA</t>
  </si>
  <si>
    <t>300-CMA-1243-2020/300-AO-1372-2022</t>
  </si>
  <si>
    <t>QUIMPAC DE COLOMBIA SA</t>
  </si>
  <si>
    <t>300-CMA-1243-2020/300-AO-1373-2022</t>
  </si>
  <si>
    <t>900-IP-0083-2022</t>
  </si>
  <si>
    <t>100-AO-1328-2022</t>
  </si>
  <si>
    <t>UNION TEMPORAL SERVIECOLOGICO</t>
  </si>
  <si>
    <t>900-IP-0095-2022</t>
  </si>
  <si>
    <t>300-AO-1330-2022</t>
  </si>
  <si>
    <t>PROYECTOS Y CONSTRUCCIONES DEL PACIFICO SAS</t>
  </si>
  <si>
    <t>300-AO-1311-2022</t>
  </si>
  <si>
    <t>JAIRO MARTIN VARGAS DIAZ</t>
  </si>
  <si>
    <t>300-AO-1336-2022</t>
  </si>
  <si>
    <t>AYAPAC CONSTRUCCIONES SAS</t>
  </si>
  <si>
    <t>300-AO-1334-2022</t>
  </si>
  <si>
    <t>PONTIFEX SAS</t>
  </si>
  <si>
    <t>300-AO-1422-2022</t>
  </si>
  <si>
    <t>4L INGENIERIA SAS</t>
  </si>
  <si>
    <t>900-IP-0097-2022</t>
  </si>
  <si>
    <t>300-AO-1324-2022</t>
  </si>
  <si>
    <t>HABILIDADES ESATRUCTURALES EN INGENIERIA  LTDA</t>
  </si>
  <si>
    <t>24 de enero en invitacion a ofertar
26 de enero en aceptacion
27 de enero en solicitud de polizas y rp
2 DE FEBRERO ENTREGADO AL AREA</t>
  </si>
  <si>
    <t>300-AO-1318-2022</t>
  </si>
  <si>
    <t>MARIA CAMILA GONZALEZ</t>
  </si>
  <si>
    <t>300-AO-1310-2022</t>
  </si>
  <si>
    <t>GIRONZA LOZANO EDUARDO</t>
  </si>
  <si>
    <t>300-AO-1335-2022</t>
  </si>
  <si>
    <t>ARMANDO LEON JIMENEZ</t>
  </si>
  <si>
    <t>300-AO-1620-2022</t>
  </si>
  <si>
    <t>VE COLOMBIA SAS</t>
  </si>
  <si>
    <t>300-AO-1523-2022</t>
  </si>
  <si>
    <t>DBO INGENIERIA LTDA</t>
  </si>
  <si>
    <t>3 Meses</t>
  </si>
  <si>
    <t>300-AO-1337-2022</t>
  </si>
  <si>
    <t>900-IP-0099-2022</t>
  </si>
  <si>
    <t>300-AO-1332-2022</t>
  </si>
  <si>
    <t>2 meses</t>
  </si>
  <si>
    <t>300-AO-1331-2022</t>
  </si>
  <si>
    <t>300-AO-1309-2022</t>
  </si>
  <si>
    <t>TECNISERICIOS DEL CENTRO DEL VALLE SAS</t>
  </si>
  <si>
    <t>300-AO-1319-2022</t>
  </si>
  <si>
    <t>FUNDACION CENTRO ESPECIALIZADO EN SOLUCIONES Y ADMINISTRACION RECURSOS- FUNDACESAR</t>
  </si>
  <si>
    <t>900-IP-0085-2022</t>
  </si>
  <si>
    <t>300-AO-1329-2022</t>
  </si>
  <si>
    <t>300-AO-1315-2022</t>
  </si>
  <si>
    <t>FUNDACION CALI BRILLA SOL Y LUNA ONG</t>
  </si>
  <si>
    <t>500-AO-1473-2022</t>
  </si>
  <si>
    <t>ELECTRO SOFTWARE SAS BIC</t>
  </si>
  <si>
    <t>300-AO-1320-2022</t>
  </si>
  <si>
    <t>CMO CONTRATISTAS MANO DE OBRA SAS</t>
  </si>
  <si>
    <t>2021-385</t>
  </si>
  <si>
    <t>2022-004</t>
  </si>
  <si>
    <t xml:space="preserve">MEDELLIN </t>
  </si>
  <si>
    <t xml:space="preserve">YUMBO </t>
  </si>
  <si>
    <t>REGIONAL</t>
  </si>
  <si>
    <t>ITAGUI</t>
  </si>
  <si>
    <t>BUENAVENTURA</t>
  </si>
  <si>
    <t>MONTERIA</t>
  </si>
  <si>
    <t>ACOPI</t>
  </si>
  <si>
    <t>Buenaventura</t>
  </si>
  <si>
    <t>TULUA</t>
  </si>
  <si>
    <t>240 dias</t>
  </si>
  <si>
    <t>300-AO-1524-2022</t>
  </si>
  <si>
    <t>400-AO-1376-2022</t>
  </si>
  <si>
    <t>SUMINISTROS Y SERVICIOS TECNICOS SOCIEDAD  POR ACCIONES SIMPLICADA SAS</t>
  </si>
  <si>
    <t>900-IP-0125-2022</t>
  </si>
  <si>
    <t>500-AO-1323-2022</t>
  </si>
  <si>
    <t>INDUSTRIAL ELECTRICA DEL CAUCA SAS</t>
  </si>
  <si>
    <t>900-IP-0132-2022</t>
  </si>
  <si>
    <t>500-AO-1333-2022</t>
  </si>
  <si>
    <t>POTENCIA Y TECNOLOGIAS INCORPORADAS SA</t>
  </si>
  <si>
    <t>900-IP-0126-2022</t>
  </si>
  <si>
    <t>400-AO-1470-2022</t>
  </si>
  <si>
    <t>COLBITS SAS</t>
  </si>
  <si>
    <t>Suministro de CONECTORES Y condiciones  técnicas. GRAPAS</t>
  </si>
  <si>
    <t xml:space="preserve">
900-IP-0157-2021
</t>
  </si>
  <si>
    <t>500-AO-1508-2022</t>
  </si>
  <si>
    <t>ELECTRICOS DEL VALLE SA</t>
  </si>
  <si>
    <t>N//A</t>
  </si>
  <si>
    <t>2021-392</t>
  </si>
  <si>
    <t>2022-024</t>
  </si>
  <si>
    <t>200-AO-1516-2022</t>
  </si>
  <si>
    <t>NEURO MEDIA SAS</t>
  </si>
  <si>
    <t>31de diciembre 2022</t>
  </si>
  <si>
    <t>200-AO-1517-2022</t>
  </si>
  <si>
    <t>SUNTIC SAS</t>
  </si>
  <si>
    <t>200-AO-1518-2022</t>
  </si>
  <si>
    <t>OPTIMAL TECHNOLOGY SAS</t>
  </si>
  <si>
    <t>200-AO-1339-2022</t>
  </si>
  <si>
    <t>200-AO-1520-2022</t>
  </si>
  <si>
    <t>SAP COLOMBIA SAS</t>
  </si>
  <si>
    <t>31 de julio 2022</t>
  </si>
  <si>
    <t>200-AO-1514-2022</t>
  </si>
  <si>
    <t>ANDINA LIFE SAS</t>
  </si>
  <si>
    <t>200-AO-1519-2021</t>
  </si>
  <si>
    <t>GRUPOSIT SAS</t>
  </si>
  <si>
    <t>800-AO-1471-2022</t>
  </si>
  <si>
    <t>500-AO-1509-2022</t>
  </si>
  <si>
    <t>VC SAFETY COLOMBIA SAS</t>
  </si>
  <si>
    <t>300-AO-1364-2022</t>
  </si>
  <si>
    <t>ABB COLOMBIA LTDA</t>
  </si>
  <si>
    <t>500-AO-1522-2022</t>
  </si>
  <si>
    <t>SERCO SRVICIO Y SUMINISTRO QUIMICO LTDA</t>
  </si>
  <si>
    <t>900-IP-0142-2022</t>
  </si>
  <si>
    <t>500-AO-1455-2022</t>
  </si>
  <si>
    <t>TMI DE COLOMBIALTDA</t>
  </si>
  <si>
    <t>7 meses</t>
  </si>
  <si>
    <t>300-AO-1321-2022</t>
  </si>
  <si>
    <t>ALQUILER Y CONSTRUCCIONES CARABALI SAS</t>
  </si>
  <si>
    <t>200-AO-1427-2022</t>
  </si>
  <si>
    <t>INTEGRATIC SAS</t>
  </si>
  <si>
    <t>200-AO-1477-2022</t>
  </si>
  <si>
    <t>BEST ENERGY SAS</t>
  </si>
  <si>
    <t>4 Meses</t>
  </si>
  <si>
    <t>900-IP-0151-2022</t>
  </si>
  <si>
    <t>300-AO-1343-2022</t>
  </si>
  <si>
    <t>200-AO-1515-2022</t>
  </si>
  <si>
    <t xml:space="preserve">PALMIRA </t>
  </si>
  <si>
    <t>900-IP-0113-2021</t>
  </si>
  <si>
    <t>500-AO-1507-2022</t>
  </si>
  <si>
    <t>PROELCO SAS</t>
  </si>
  <si>
    <t>0164</t>
  </si>
  <si>
    <t>GAA0349</t>
  </si>
  <si>
    <t>FR-300-GAA-0040-2022</t>
  </si>
  <si>
    <t>Suministro de rejillas para sumideros en polimero de 8 huecos</t>
  </si>
  <si>
    <t>0165</t>
  </si>
  <si>
    <t>GAA0625</t>
  </si>
  <si>
    <t>FR-300-GAA-0037-2022</t>
  </si>
  <si>
    <t>Construcción de bases para instalar puente grua de las unidades de agua residual con capacidad de 20 toneladas en la Planta de Puerto Mallarino</t>
  </si>
  <si>
    <t>0166</t>
  </si>
  <si>
    <t>GAA0348</t>
  </si>
  <si>
    <t>FR-300-GAA-0045-2022</t>
  </si>
  <si>
    <t>Suministro de rejillas concreto reforzado para el mantenimiento de las redes de alcantarillado operadas por EMCALI</t>
  </si>
  <si>
    <t>0167</t>
  </si>
  <si>
    <t>GAA0402</t>
  </si>
  <si>
    <t>FR-300-GAA-0041-2022</t>
  </si>
  <si>
    <t>Suministro de cloruro férrico en base líquida al 42% para ser utilizado en el tratamiento de las aguas residuales en la PTAR C.</t>
  </si>
  <si>
    <t>150 dias</t>
  </si>
  <si>
    <t>300-CMA-1243-2020/300-AO-1676-2022</t>
  </si>
  <si>
    <t>QUIMPAC COLOMBIA SA</t>
  </si>
  <si>
    <t>300-CMA-1242-2020</t>
  </si>
  <si>
    <t>0169</t>
  </si>
  <si>
    <t>GAA0404</t>
  </si>
  <si>
    <t>FR-300-GAA-0043-2022</t>
  </si>
  <si>
    <t>Suministro de polímero ayudante de floculación para ser utilizado en el tratamiento de las aguas residuales en la PTAR C.</t>
  </si>
  <si>
    <t>0170</t>
  </si>
  <si>
    <t>GAA0405</t>
  </si>
  <si>
    <t>FR-300-GAA-0044-2022</t>
  </si>
  <si>
    <t>300-CMA-1240-2020</t>
  </si>
  <si>
    <t>Suministro de producto para control de olores en el tratamiento de las aguas residuales de la PTAR C.</t>
  </si>
  <si>
    <t>300-CMA-1240-2020/300-AO-1677-2022</t>
  </si>
  <si>
    <t>PROAQO INGENIERIA  SAS</t>
  </si>
  <si>
    <t>0171</t>
  </si>
  <si>
    <t>GAA0347</t>
  </si>
  <si>
    <t>FR-300-GAA-0046-2022</t>
  </si>
  <si>
    <t>300-CMA-1974-2020</t>
  </si>
  <si>
    <t>Compra de herramientas para la reparación de daños servicio de alcantarillado PUNTAS ROMPEPAVIMENTO</t>
  </si>
  <si>
    <t>0172</t>
  </si>
  <si>
    <t>GAA0359</t>
  </si>
  <si>
    <t>FR-300-GAA-0048-2022</t>
  </si>
  <si>
    <t>Investigar los colectores Pluviales y Sanitarios con equipo de Circuito Cerrado de Televisión y Detectar los predios que presentan conexiones erradas de Alcantarillado a la Red Pluvial</t>
  </si>
  <si>
    <t>0173</t>
  </si>
  <si>
    <t>GAA0264</t>
  </si>
  <si>
    <t>FR-300-GAA-0049-2022</t>
  </si>
  <si>
    <t>Mantenimiento y calibración sistemas de pesaje plantas de tratamiento de agua potable</t>
  </si>
  <si>
    <t>0174</t>
  </si>
  <si>
    <t>GT0129</t>
  </si>
  <si>
    <t>FR-400-GT-0152-2022</t>
  </si>
  <si>
    <t>Suministro de cables BCH y alambres de cobre para el mantenimiento e instalación de las redes de Acceso de los Servicios de Telecomunicaciones</t>
  </si>
  <si>
    <t>0175</t>
  </si>
  <si>
    <t>GTI0019</t>
  </si>
  <si>
    <t>FR-200-GTI-0013-2022</t>
  </si>
  <si>
    <t>Suscripción de una plataforma integral de mensajería, correo electrónico y trabajo colaborativo en la Nube.</t>
  </si>
  <si>
    <t>0177</t>
  </si>
  <si>
    <t>GAA0275</t>
  </si>
  <si>
    <t>FR-300-GAA-0053-2022</t>
  </si>
  <si>
    <t>Suministro de varillas para operación de valvulas de la red matriz de acueducto</t>
  </si>
  <si>
    <t>0178</t>
  </si>
  <si>
    <t>GAA0277</t>
  </si>
  <si>
    <t>FR-300-GAA-0054-2022</t>
  </si>
  <si>
    <t>Compra de cartas graficas circulares para registradores ref 4686 x 100 UND</t>
  </si>
  <si>
    <t>0179</t>
  </si>
  <si>
    <t>GAA0276</t>
  </si>
  <si>
    <t>FR-300-GAA-0055-2022</t>
  </si>
  <si>
    <t>Mantenimiento de equipos de pruebas hidrostaticas</t>
  </si>
  <si>
    <t>0180</t>
  </si>
  <si>
    <t>GAA0274</t>
  </si>
  <si>
    <t>FR-300-GAA-0056-2022</t>
  </si>
  <si>
    <t>Mantenimiento de las casetas de protección</t>
  </si>
  <si>
    <t>0182</t>
  </si>
  <si>
    <t>GAA0106</t>
  </si>
  <si>
    <t>Levantamientos planimetricos y altimetricos topograficos año 2022, para proyectos priorizados GUENAA de Acueducto y Alcantarillado</t>
  </si>
  <si>
    <t>0183</t>
  </si>
  <si>
    <t>0184</t>
  </si>
  <si>
    <t>SG0052</t>
  </si>
  <si>
    <t>FR-100-SG-0061-2022</t>
  </si>
  <si>
    <t>Prestación de servicios para realizar actividades de gestión del cambio organizacional en torno a la actualización de la estructura de la información en la Gestión Documental de EMCALI EICE ESP</t>
  </si>
  <si>
    <t>0185</t>
  </si>
  <si>
    <t>GTI0176</t>
  </si>
  <si>
    <t>FR-200-GTI-0090-2022</t>
  </si>
  <si>
    <t>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t>
  </si>
  <si>
    <t>0186</t>
  </si>
  <si>
    <t>GAA0263</t>
  </si>
  <si>
    <t>FR-300-GAA-0059-2022</t>
  </si>
  <si>
    <t>Mantenimiento sistema Scada a estaciones y plantas de tratamiento de Agua Potable</t>
  </si>
  <si>
    <t>0187</t>
  </si>
  <si>
    <t>GAA0253</t>
  </si>
  <si>
    <t>FR-300-GAA-0061-2022</t>
  </si>
  <si>
    <t>Suministro de dos variadores de velocidad de 1250 HP A 4160 Voltios Planta de Puerto Mallarino</t>
  </si>
  <si>
    <t>0188</t>
  </si>
  <si>
    <t>GAA0258</t>
  </si>
  <si>
    <t>FR-300-GAA-0062-2022</t>
  </si>
  <si>
    <t>Suministro de unidades de bombeo sumergibles PTAP Puerto Mallarino</t>
  </si>
  <si>
    <t>0189</t>
  </si>
  <si>
    <t>GAA0395</t>
  </si>
  <si>
    <t>FR-300-GAA-0064-2022</t>
  </si>
  <si>
    <t>Suministro de una bomba autocebante de 6 pulgadas, con motor eléctrico, con estructura de montaje y tablero eléctrico con protección, para utilizar en la planta de tratamiento de Aguas Residuales PTAR - C</t>
  </si>
  <si>
    <t>0190</t>
  </si>
  <si>
    <t>GAA0373</t>
  </si>
  <si>
    <t>FR-300-GAA-0066-2022</t>
  </si>
  <si>
    <t>Suministro, montaje y puesta en marcha de tanques de almacenamiento de ACPM para los equipos electrógenos de las estaciones de bombeo de aguas residuales y lluvias</t>
  </si>
  <si>
    <t>0191</t>
  </si>
  <si>
    <t>GAA0380</t>
  </si>
  <si>
    <t>FR-300-GAA-0067-2022</t>
  </si>
  <si>
    <t>Mantenimiento a equipos electrógenos marca CUMMINS pertenecientes a las estaciones de bombeo de aguas lluvias y/o residuales</t>
  </si>
  <si>
    <t>28 de enero en solicitud de conceptos
28 DE ENERO SE DEVUELVE POR VENCIMIENTO DE PLAZO DE LEY DE GARANTIAS</t>
  </si>
  <si>
    <t>28 de enero en solicitud de conceptos
28 DE ENERO SE DEVUELVE POR PLAZO DE CUMPLIMIENTO DE LEY DE GARANTIAS</t>
  </si>
  <si>
    <t>BU1CARAMANGA</t>
  </si>
  <si>
    <t>feb</t>
  </si>
  <si>
    <t>DÍAS INVITACIÓN PRIVADA APOYO</t>
  </si>
  <si>
    <t>Ahorro</t>
  </si>
  <si>
    <t>NO</t>
  </si>
  <si>
    <t>900-IPU-0164-2022</t>
  </si>
  <si>
    <t>se unio en el proceso 196</t>
  </si>
  <si>
    <t>900-IPU-0166-2022</t>
  </si>
  <si>
    <t>900-IPU-0173-2022</t>
  </si>
  <si>
    <t>23 de marzo en adenda de modificacion de plazo
31 DE MARZO SE CERRO EL PROCESO NO SE PRESENTO PROPONENTE</t>
  </si>
  <si>
    <t>900-IPU-0175-2022</t>
  </si>
  <si>
    <t>900-IPU-0178-2022</t>
  </si>
  <si>
    <t xml:space="preserve">23 de marzo en respuestas a observaciones
31 de marzo se cierra porque el proveedor no cumple </t>
  </si>
  <si>
    <t>900-IPU-0180-2022</t>
  </si>
  <si>
    <t>24 de marzo en recepcion de ofertas
31 DE MARZO SE CIERRA PORQUE NADIE PRESENTO OFERTAS</t>
  </si>
  <si>
    <t>0193</t>
  </si>
  <si>
    <t>GTI0111</t>
  </si>
  <si>
    <t>FR-200-GTI-0068-2022</t>
  </si>
  <si>
    <t>Servicio de soporte y mantenimiento preventivo y correctivo del aplicativo del software de gestión para mantenimiento de Flota Vehicular - ROMA</t>
  </si>
  <si>
    <t>900-IPU-0193-2022</t>
  </si>
  <si>
    <t>23 de marzo publicado
31 DE MARZO CERRADO PORQUE NO SE PRESENTO NINGUN OFERENTE</t>
  </si>
  <si>
    <t>SI</t>
  </si>
  <si>
    <t>8 DE MARZO ENTREGADO AL AREA</t>
  </si>
  <si>
    <t>300-CMA-1246-2020/300-AO-1672-2022</t>
  </si>
  <si>
    <t xml:space="preserve">NO </t>
  </si>
  <si>
    <t xml:space="preserve"> NO</t>
  </si>
  <si>
    <t>0205</t>
  </si>
  <si>
    <t>GAA0278
GAA0279</t>
  </si>
  <si>
    <t>FR-300-GAA-0069-2022</t>
  </si>
  <si>
    <t>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t>
  </si>
  <si>
    <t>SIN ASIGNAR</t>
  </si>
  <si>
    <t>Solicitud de Polizas y Rp</t>
  </si>
  <si>
    <t>900-IPU-0601-2021</t>
  </si>
  <si>
    <t>900-IPU-0165-2022</t>
  </si>
  <si>
    <t>900-IPU-0172-2022</t>
  </si>
  <si>
    <t>900-IPU-0179-2022</t>
  </si>
  <si>
    <t>900-IPU-0182-2022</t>
  </si>
  <si>
    <t>900-IPU-0183-2022</t>
  </si>
  <si>
    <t>900-IPU-0184-2022</t>
  </si>
  <si>
    <t>900-IPU-0185-2022</t>
  </si>
  <si>
    <t>900-IPU-0186-2022</t>
  </si>
  <si>
    <t>900-IPU-0187-2022</t>
  </si>
  <si>
    <t>900-IPU-0188-2022</t>
  </si>
  <si>
    <t>900-IPU-0190-2022</t>
  </si>
  <si>
    <t>900-IPU-0191-2022</t>
  </si>
  <si>
    <t>0192</t>
  </si>
  <si>
    <t>GTI0041
GTI0086</t>
  </si>
  <si>
    <t>FR-200-GTI-0094-2022</t>
  </si>
  <si>
    <t>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t>
  </si>
  <si>
    <t>900-IPU-0192-2022</t>
  </si>
  <si>
    <t>0195</t>
  </si>
  <si>
    <t>GTI0020
GTI0084</t>
  </si>
  <si>
    <t>FR-200-GTI-0085-2022</t>
  </si>
  <si>
    <t>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t>
  </si>
  <si>
    <t>900-IPU-0195-2022</t>
  </si>
  <si>
    <t>0196</t>
  </si>
  <si>
    <t>GAA0348
GAA0349</t>
  </si>
  <si>
    <t>FR-300-GAA-0045-2022
FR-300-GAA-0040-2022</t>
  </si>
  <si>
    <t>900-IPU-0196-2022</t>
  </si>
  <si>
    <t>202201930
202201931</t>
  </si>
  <si>
    <t>0197</t>
  </si>
  <si>
    <t>JUAN DAVID GOMEZ</t>
  </si>
  <si>
    <t>0198</t>
  </si>
  <si>
    <t>Calibración de equipos de prueba de medidores - EPM y un patrón Trifásico Multifunción, en la magnitud de energía eléctrica</t>
  </si>
  <si>
    <t>0199</t>
  </si>
  <si>
    <t>Realizar mediciones ambientales de ruido y de campos electromagnéticos en subestaciones de energía y lineas de Subtransmisión a 115 Kv</t>
  </si>
  <si>
    <t>900-IPU-0199-2022</t>
  </si>
  <si>
    <t>DIEGO PATIÑO</t>
  </si>
  <si>
    <t>0200</t>
  </si>
  <si>
    <t>GAA0393</t>
  </si>
  <si>
    <t>FR-300-GAA-0071-2022</t>
  </si>
  <si>
    <t>Suministro de equipos y accesorios eléctricos para motores, iluminación y tableros de distribución para el proceso de Tratamiento de la PTAR-C</t>
  </si>
  <si>
    <t>900-IPU-0200-2022</t>
  </si>
  <si>
    <t>0201</t>
  </si>
  <si>
    <t>GAA0372</t>
  </si>
  <si>
    <t>FR-300-GAA-0070-2022</t>
  </si>
  <si>
    <t>Suministro e instalación de lineas de vida y sus elementos complementarios para las estaciones de bombeo de aguas residuales y lluvias</t>
  </si>
  <si>
    <t>900-IPU-0201-2022</t>
  </si>
  <si>
    <t>0202</t>
  </si>
  <si>
    <t>GAA0272</t>
  </si>
  <si>
    <t>FR-300-GAA-0068-2022</t>
  </si>
  <si>
    <t>300-CMA-1974-2021</t>
  </si>
  <si>
    <t>Suministro de hidrantes para la Unidad de Distribucción</t>
  </si>
  <si>
    <t>0203</t>
  </si>
  <si>
    <t>GAA0379</t>
  </si>
  <si>
    <t>FR-300-GAA-0074-2022</t>
  </si>
  <si>
    <t>Mantenimiento a equipos de instrumentación y actuadores de todas las estaciones de bombeo de aguas lluvias y residuales, incluido plan de calibración de equipos</t>
  </si>
  <si>
    <t>0204</t>
  </si>
  <si>
    <t>GAA0387</t>
  </si>
  <si>
    <t>FR-300-GAA-0075-2022</t>
  </si>
  <si>
    <t>Suministro de lubricantes para todas las estaciones de bombeo de aguas lluvias y/o residuales</t>
  </si>
  <si>
    <t>900-IPU-0204-2022</t>
  </si>
  <si>
    <t>0206</t>
  </si>
  <si>
    <t>GAA0377</t>
  </si>
  <si>
    <t>FR-300-GAA-0073-2022</t>
  </si>
  <si>
    <t>Mantenimiento eléctrico a equipos y a variadores de velocidad marca ABB, HYUNDAY, DANFOSS Y arrancadores suaves de varias marcas pertenecientes a las estaciones de bombeo de aguas lluvias y/o residuales</t>
  </si>
  <si>
    <t>0207</t>
  </si>
  <si>
    <t>GAA0394</t>
  </si>
  <si>
    <t>FR-300-GAA-0076-2022</t>
  </si>
  <si>
    <t>Suministro de equipos y elementos para la medición de variables para el proceso de tratamiento de la PTAR-C</t>
  </si>
  <si>
    <t>0211</t>
  </si>
  <si>
    <t>GAA0655</t>
  </si>
  <si>
    <t>FR-300-GAA-0081-2022</t>
  </si>
  <si>
    <t>Suministro de Adsorbente para las plantas de tratamiento de Agua Potable Puerto Mallarino, Río Cauca y Río Cali: Carbón Activado</t>
  </si>
  <si>
    <t>0212</t>
  </si>
  <si>
    <t>GAA0219</t>
  </si>
  <si>
    <t>FR-300-GAA-0082-2022</t>
  </si>
  <si>
    <t>Suministro de Hipoclorito de Calcio para ser utilizado en el tratamiento de Agua Potable para consumo humano</t>
  </si>
  <si>
    <t>0213</t>
  </si>
  <si>
    <t>GHA0218
GHA0219</t>
  </si>
  <si>
    <t>FR-800-GAGHA-0132-2022</t>
  </si>
  <si>
    <t>Realizar la compra de dos (2) camperos/Suv 4x4, 3 o 5 puertas, incluyendo el servicio de diez (10) mantenimientos preventivos para cada vehículo, con las adecuaciones requeridas por EMCALI EICE ESP</t>
  </si>
  <si>
    <t>900-IPU-0213-2022</t>
  </si>
  <si>
    <t>202201759
202202081</t>
  </si>
  <si>
    <t>0214</t>
  </si>
  <si>
    <t>GE0313</t>
  </si>
  <si>
    <t>FR-500-GE-0188-2022</t>
  </si>
  <si>
    <t>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t>
  </si>
  <si>
    <t>0216</t>
  </si>
  <si>
    <t>GT0192</t>
  </si>
  <si>
    <t>FR-400-GT-0154-2022</t>
  </si>
  <si>
    <t>Suministro de materiales de ferretería requeridos para el mantenimiento de la red de telecomunicaciones en el área de influencia de EMCALI.</t>
  </si>
  <si>
    <t>0217</t>
  </si>
  <si>
    <t>GAA0259</t>
  </si>
  <si>
    <t>FR-300-GAA-0086-2022</t>
  </si>
  <si>
    <t>Mantenimiento de equipos electromecanicos de las PTAP´S Río Cali y Rivera</t>
  </si>
  <si>
    <t>0218</t>
  </si>
  <si>
    <t>GAA0270</t>
  </si>
  <si>
    <t>FR-300-GAA-0088-2022</t>
  </si>
  <si>
    <t>Suministro de elementos de ferreteria para la unidad de distribucción</t>
  </si>
  <si>
    <t>0219</t>
  </si>
  <si>
    <t>GE0314</t>
  </si>
  <si>
    <t>FR-500-GE-0190-2022</t>
  </si>
  <si>
    <t>Mantenimiento general de transformadores de potencia de las Subestaciones de Energía</t>
  </si>
  <si>
    <t>0220</t>
  </si>
  <si>
    <t>GHA0049
GHA0052</t>
  </si>
  <si>
    <t>FR-800-GAGHA-0141-2022</t>
  </si>
  <si>
    <t>Suministrar la dotación de ropa para los servicios públicos y Brigadistas de EMCALI EICE ESP</t>
  </si>
  <si>
    <t>202202736
202202743
202202737</t>
  </si>
  <si>
    <t>0221</t>
  </si>
  <si>
    <t>GT0229</t>
  </si>
  <si>
    <t>FR-400-GT-0155-2022</t>
  </si>
  <si>
    <t>Suministro de Equipos Terminales CPE con tecnología ADSL2+/VDSL2 para el mercado masivo y comercial de EMCALI</t>
  </si>
  <si>
    <t>0222</t>
  </si>
  <si>
    <t>GAA0646</t>
  </si>
  <si>
    <t>FR-300-GAA-0097-2022</t>
  </si>
  <si>
    <t>Suministro de elementos de Ferretería</t>
  </si>
  <si>
    <t>0223</t>
  </si>
  <si>
    <t>GAA0294
GAA0295
GAA0296
GAA0297</t>
  </si>
  <si>
    <t>FR-300-GAA-0091-2022</t>
  </si>
  <si>
    <t>Suministro de materiales para atender necesidades de la unidad de atención operativa en la actividades de reparación de daños de red y acometidas</t>
  </si>
  <si>
    <t>202202475
202202476
202202477
202202478</t>
  </si>
  <si>
    <t>0224</t>
  </si>
  <si>
    <t>GAA0255</t>
  </si>
  <si>
    <t>FR-300-GAA-0090-2022</t>
  </si>
  <si>
    <t>Reparación descargas de reactores 1 y 2 PTAP Río Cauca</t>
  </si>
  <si>
    <t>0225</t>
  </si>
  <si>
    <t>GAA0554</t>
  </si>
  <si>
    <t>FR-300-GAA-0101-2022</t>
  </si>
  <si>
    <t>Suministro de materiales de ferretería para la Unidad Control Integral de Perdidas de Agua/Subgerencia de Gestión Comercial</t>
  </si>
  <si>
    <t>0226</t>
  </si>
  <si>
    <t>GAA0621</t>
  </si>
  <si>
    <t>FR-300-GAA-0093-2022</t>
  </si>
  <si>
    <t>Mantenimiento de seis (6) celdas 8DA10 SIEMENS de la PTAP Planta Río Cauca (OVERHOULT CELDAS SUBESTACIÓN PLANTA RIO CAUCA)</t>
  </si>
  <si>
    <t>0227</t>
  </si>
  <si>
    <t>GAA0406</t>
  </si>
  <si>
    <t>FR-300-GAA-0096-2022</t>
  </si>
  <si>
    <t>Servicios de asesoría para control de parámetros de seguimiento al plan de manejo ambiental - PMA de la Planta de Tratamiento de Aguas Residuales de Cañaveralejo - PTAR C DE EMCALI EICE ESP</t>
  </si>
  <si>
    <t>0228</t>
  </si>
  <si>
    <t>GAA0552
GAA0553</t>
  </si>
  <si>
    <t>FR-300-GAA-0100-2022</t>
  </si>
  <si>
    <t>Suministro de equipos menores y herramientas</t>
  </si>
  <si>
    <t>202203077
202203078</t>
  </si>
  <si>
    <t>0229</t>
  </si>
  <si>
    <t>GE0316</t>
  </si>
  <si>
    <t>FR-500-GE-0191-2022</t>
  </si>
  <si>
    <t>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t>
  </si>
  <si>
    <t>0230</t>
  </si>
  <si>
    <t>FR-300-GAA-0103-2022</t>
  </si>
  <si>
    <t>Contrato Marco para el suministro de Hidroxicloruro de Aluminio para ser utilizado en el Tratamiento de Agua Potable para Consumo Humano</t>
  </si>
  <si>
    <t>0231</t>
  </si>
  <si>
    <t>FR-300-GAA-0104-2022</t>
  </si>
  <si>
    <t>Contrato Marco para el Suministro de Cloro Líquido e Hidróxido de Sodio en base seca con presentación líquida para ser utilizado en el Tratamiento de Agua Potable para Consumo Humano</t>
  </si>
  <si>
    <t>0232</t>
  </si>
  <si>
    <t>FR-300-GAA-0105-2022</t>
  </si>
  <si>
    <t>Contrato Marco para el Suministro de Coagulante (Cloruro Férrico en base seca con presentación líquida al 42% y/o Sulfato de Aluminio Tipo B en base seca con presentación líquida al 49%) para ser utilizado en el Tratamiento de Agua Potable para Consumo Humano</t>
  </si>
  <si>
    <t>0233</t>
  </si>
  <si>
    <t>FR-300-GAA-0106-2022</t>
  </si>
  <si>
    <t>Contrato Marco para el Suministro de Carbón Activado para ser utilizado en el Tratamiento de Agua Potable para Consumo Humano</t>
  </si>
  <si>
    <t>0234</t>
  </si>
  <si>
    <t>GAA0624</t>
  </si>
  <si>
    <t>FR-300-GAA-0098-2022</t>
  </si>
  <si>
    <t>Suministro de equipos de Instrumentación para  las Plantas de Tratamiento de Agua Potable</t>
  </si>
  <si>
    <t>0235</t>
  </si>
  <si>
    <t>GAA0261
GAA0637</t>
  </si>
  <si>
    <t>FR-300-GAA-0099-2022</t>
  </si>
  <si>
    <t>OVERHOULT Equipos Electoromecanicos para los equipos de PTAP Río Cauca</t>
  </si>
  <si>
    <t>0236</t>
  </si>
  <si>
    <t>GHA0224
GHA0225</t>
  </si>
  <si>
    <t>FR-800-GAGHA-0142-2022</t>
  </si>
  <si>
    <t>Realizar la compra de un (1) vehículo SUV 4X4 de 5 puertas; incluyendo el servicio de Diez (10) mantenimientos preventivos para el vehículo, con las adecuaciones requeridas por EMCALI EICE ESP</t>
  </si>
  <si>
    <t>202202682
202202679</t>
  </si>
  <si>
    <t>0237</t>
  </si>
  <si>
    <t>GHA0228
GHA0229</t>
  </si>
  <si>
    <t>FR-800-GAGHA-0146-2022</t>
  </si>
  <si>
    <t>Realizar la compra de un cargador frontal con capacidad volumétrica del balde entre 2,2 y 3,5 metros cúbicos, con las condiciones de entrega requeridas por EMCALI EICE ESP, incluyendo el servicio de Diez (10) mantenimientos preventivos</t>
  </si>
  <si>
    <t>202202454
202201858</t>
  </si>
  <si>
    <t>0238</t>
  </si>
  <si>
    <t>FR-800-GAGHA-0140-2022</t>
  </si>
  <si>
    <t>Realizar el suministro e Instalación de llantas nuevas, rines, válvulas, neumáticos y protectores nuevos, incluyendo el servicio de marcación, alineación, balanceo y rotación de llantas, de acuerdo a la necesidad de EMCALI EICE ESP</t>
  </si>
  <si>
    <t>0240</t>
  </si>
  <si>
    <t>FR-300-GAA-0107-2022</t>
  </si>
  <si>
    <t>Suministrar Cloruro Férrico en base líquida al 42% para ser utilizado en el tratamiento de las aguas residuales en la PTAR C.</t>
  </si>
  <si>
    <t>0241</t>
  </si>
  <si>
    <t>FR-300-GAA-0108-2022</t>
  </si>
  <si>
    <t>Suministrar Polímero acondicionante de lodos para deshidratación, utilizado en el proceso del tratamiento de las aguas residuales en la PTAR C.</t>
  </si>
  <si>
    <t>0242</t>
  </si>
  <si>
    <t>FR-300-GAA-0109-2022</t>
  </si>
  <si>
    <t>Suministrar Polímero ayudante de floculación para ser utilizado en el tratamiento de las aguas residuales en la PTAR C.</t>
  </si>
  <si>
    <t>0243</t>
  </si>
  <si>
    <t>FR-300-GAA-0110-2022</t>
  </si>
  <si>
    <t>Suministrar producto para control de olores en el tratamiento de las aguas residuales de la PTAR C.</t>
  </si>
  <si>
    <t>0244</t>
  </si>
  <si>
    <t>GAA0215</t>
  </si>
  <si>
    <t>FR-300-GAA-0083-2022</t>
  </si>
  <si>
    <t>Suministro de cables electricos para la renovación de los componentes priorizado de la alimentación electrica de la PTAP Puerto Mallarino</t>
  </si>
  <si>
    <t>202202636
202202637</t>
  </si>
  <si>
    <t>0245</t>
  </si>
  <si>
    <t>GAA0262
GAA0626
GAA0640</t>
  </si>
  <si>
    <t>FR-300-GAA-0094-2022</t>
  </si>
  <si>
    <t>OVERHOULT y mantenimientos electromecanicos para los equipos de la PTAP de Puerto Mallarino</t>
  </si>
  <si>
    <t>202200891
202202898
202202900</t>
  </si>
  <si>
    <t>0246</t>
  </si>
  <si>
    <t>GAA0639
GAA0663</t>
  </si>
  <si>
    <t>FR-300-GAA-0102-2022</t>
  </si>
  <si>
    <t>Suministro de equipos CHEMTRAC para plantas de tratamiento de Agua Potable</t>
  </si>
  <si>
    <t>0247</t>
  </si>
  <si>
    <t>GAA0351</t>
  </si>
  <si>
    <t>FR-300-GAA-0119-2022</t>
  </si>
  <si>
    <t>Realizar la restitución de andenes y calzadas por reparaciones de daños en la red de alcantarillado y reposición o construcción de acometidas domiciliares y sumideros en la ciudad de Santiago de Cali.</t>
  </si>
  <si>
    <t>0248</t>
  </si>
  <si>
    <t>GT0132</t>
  </si>
  <si>
    <t>FR-400-GT-0153-2022</t>
  </si>
  <si>
    <t>400-CMA-1353-2020</t>
  </si>
  <si>
    <t>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t>
  </si>
  <si>
    <t>202202435
202202352
202202353
202202355
202202354</t>
  </si>
  <si>
    <t>0249</t>
  </si>
  <si>
    <t>GAA0657</t>
  </si>
  <si>
    <t>FR-300-GAA-0092-2022</t>
  </si>
  <si>
    <t>Consultoría para la formulación del plan de gestión de riesgos para el manejo de vertimientos (PGRMV) de la planta de tratamiento de aguas residuales Cañaveralejo - PTAR-C de EMCALI EICE ESP</t>
  </si>
  <si>
    <t>0250</t>
  </si>
  <si>
    <t>GAA0651</t>
  </si>
  <si>
    <t>FR-300-GAA-0087-2022</t>
  </si>
  <si>
    <t>Suministro de equipos de Automatismo y Telemetría</t>
  </si>
  <si>
    <t>0251</t>
  </si>
  <si>
    <t>GAA0260
GAA0622
GAA0638</t>
  </si>
  <si>
    <t>FR-300-GAA-0089-2022</t>
  </si>
  <si>
    <t>OVERHOULT Equipos electromecanicos de las Estaciones de Bombeo de Agua Potable</t>
  </si>
  <si>
    <t>202202901
202202902
202202903</t>
  </si>
  <si>
    <t>300-CMA-1245-2020/300-AO-1616-2022</t>
  </si>
  <si>
    <t>500-CMA-1743-2021/400-AO-1684-2022</t>
  </si>
  <si>
    <t>CENTELSA SA</t>
  </si>
  <si>
    <t>mar</t>
  </si>
  <si>
    <t>GUENTIC</t>
  </si>
  <si>
    <t>Mayor cuantia</t>
  </si>
  <si>
    <t>Menor cuantia</t>
  </si>
  <si>
    <t>23 de marzo se retrotrae a evaluacion sobre 1
5 de abril se reciben observaciones al informe de evaluacion
7 DE ABRIL SE CIERRA EL PROCESO Porque le proveedor no cumplio con las condiciones de contratacion</t>
  </si>
  <si>
    <t>31 de marzo en recepcion de ofertas que se reciben el 6 de abril
7 de abril se cerro el proceso se solicito derivada para sacarlo como invitacion privada</t>
  </si>
  <si>
    <t>900-IPU-0197-2022</t>
  </si>
  <si>
    <t>23 de marzo en revision por silvia de la fpa e invitacion
31 DE MAEZO PENDIENTE DE PUBLICAR A ESPERA QUE SE LE ABRA EL ROL AL GESTOR EN L APLATAFORMA
7 DE ABRIL SE CERRO EL PROCESO POR CAMBIO DE EJECUCION DEL CONTRATO</t>
  </si>
  <si>
    <t>900-IPU-0205-2022</t>
  </si>
  <si>
    <t>DEVUELTO EL 23 DE MARZO 2022 POR SOLICITUD DEL AREA</t>
  </si>
  <si>
    <t>0264</t>
  </si>
  <si>
    <t>GAA0650</t>
  </si>
  <si>
    <t>FR-300-GAA-0127-2022</t>
  </si>
  <si>
    <t>Renovar los componentes priorizados del sistema de filtración de las PTAPS de la Red Alta (Río Cali y la Reforma)</t>
  </si>
  <si>
    <t>202202667
202202668</t>
  </si>
  <si>
    <t>DEVUELTO POR SOLICITUD DEL AREA EL 22 DE ABRIL</t>
  </si>
  <si>
    <t>0274</t>
  </si>
  <si>
    <t>GAA0280</t>
  </si>
  <si>
    <t>FR-300-GAA-0135-2022</t>
  </si>
  <si>
    <t>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t>
  </si>
  <si>
    <t>DEVUELTO POR SOLICITUD DEL AREA EL 25DE ABRIL</t>
  </si>
  <si>
    <t>31 DE MARZO ADELANTANDO OTRO SI PARA AJUSTE DE PRECIOS
20 DE ABRIL ESPERANDO EN SOLICITUD DE RP</t>
  </si>
  <si>
    <t>31 de marzo en recepcion de ofertas que se reciben el 7 de abril
7 de abril en evaluacion sobre 1</t>
  </si>
  <si>
    <t>900-IPU-0203-2022</t>
  </si>
  <si>
    <t>900-IPU-0206-2022</t>
  </si>
  <si>
    <t>900-IPU-0207-2022</t>
  </si>
  <si>
    <t>900-IPU-0224-2022</t>
  </si>
  <si>
    <t>900-IPU-0226-2022</t>
  </si>
  <si>
    <t>900-IPU-0227-2022</t>
  </si>
  <si>
    <t>900-IPU-0230-2022</t>
  </si>
  <si>
    <t>900-IPU-0237-2022</t>
  </si>
  <si>
    <t>900-IPU-0238-2022</t>
  </si>
  <si>
    <t>900-IPU-0246-2022</t>
  </si>
  <si>
    <t>900-IPU-0247-2022</t>
  </si>
  <si>
    <t>0252</t>
  </si>
  <si>
    <t>GAA0173</t>
  </si>
  <si>
    <t>FR-300-GAA-0111-2022</t>
  </si>
  <si>
    <t>Mitigación de inundaciones comuna 6 y valvulas antiretorno sectores varios 2022</t>
  </si>
  <si>
    <t>0253</t>
  </si>
  <si>
    <t>GAA0174</t>
  </si>
  <si>
    <t>FR-300-GAA-0126-2022</t>
  </si>
  <si>
    <t>Obras PSMV Optimización y mejoramiento drenaje sectores varios - control de vertimientos canal oriental y entrega Río Cali</t>
  </si>
  <si>
    <t>0254</t>
  </si>
  <si>
    <t>GAA0254</t>
  </si>
  <si>
    <t>FR-300-GAA-0122-2022</t>
  </si>
  <si>
    <t>Suministro e instalación de generador Planta Puerto Mallarino</t>
  </si>
  <si>
    <t>0255</t>
  </si>
  <si>
    <t>GAA0257</t>
  </si>
  <si>
    <t>FR-300-GAA-0125-2022</t>
  </si>
  <si>
    <t>Suministro de Soplador Lobular con variador de velocidad y complementarios</t>
  </si>
  <si>
    <t>0256</t>
  </si>
  <si>
    <t>GAA0648</t>
  </si>
  <si>
    <t>FR-300-GAA-0128-2022</t>
  </si>
  <si>
    <t>Acondicionamiento electrico de la subestación electrica No 1 (Suministro celdas media tensión) para PTAP Río Cali</t>
  </si>
  <si>
    <t>0257</t>
  </si>
  <si>
    <t>GAA0670</t>
  </si>
  <si>
    <t>0258</t>
  </si>
  <si>
    <t>GE0189</t>
  </si>
  <si>
    <t>FR-500-GE-0193-2022</t>
  </si>
  <si>
    <t>Calibración de equipos de Medición</t>
  </si>
  <si>
    <t>,</t>
  </si>
  <si>
    <t>0259</t>
  </si>
  <si>
    <t>GAA0407</t>
  </si>
  <si>
    <t>FR-300-GAA-0124-2022</t>
  </si>
  <si>
    <t>Servicio de transporte, recolección y disposición de arenas, hilazas y biosolidos generados en el tratamiento de las aguas residuales en la PTAR-C</t>
  </si>
  <si>
    <t>0260</t>
  </si>
  <si>
    <t>GAA0664</t>
  </si>
  <si>
    <t>FR-300-GAA-0129-2022</t>
  </si>
  <si>
    <t>OVERHOULT equipos electromecanicos de las estaciones de bombeo de agua potable</t>
  </si>
  <si>
    <t>0261</t>
  </si>
  <si>
    <t>GAA0583</t>
  </si>
  <si>
    <t>FR-300-GAA-0130-2022</t>
  </si>
  <si>
    <t>Suministro de materiales de ferreteria asociados con la ejecución de acometidas de acueducto afines para EMCALI EICE ESP</t>
  </si>
  <si>
    <t>0262</t>
  </si>
  <si>
    <t>GAA0271</t>
  </si>
  <si>
    <t>FR-300-GAA-0131-2022</t>
  </si>
  <si>
    <t>300-CM-1794-2020</t>
  </si>
  <si>
    <t>Compra de valvulas para la Unidad de Distribución</t>
  </si>
  <si>
    <t>0263</t>
  </si>
  <si>
    <t>GAA0662</t>
  </si>
  <si>
    <t>FR-300-GAA-0114-2022</t>
  </si>
  <si>
    <t>Tramos criticos acueducto y alcantarillado sectores varios grupo 2 - barrio Unión de Vivienda Popular</t>
  </si>
  <si>
    <t>0265</t>
  </si>
  <si>
    <t>FR-300-GAA-0133-2022</t>
  </si>
  <si>
    <t>Ejecutar las obras para la optimización de las redes de acueducto de los barrios Puerto Mallarino, Simon Bolivar, El lido,Colseguros y Saavedra Galindo</t>
  </si>
  <si>
    <t>0266</t>
  </si>
  <si>
    <t>GAA0675</t>
  </si>
  <si>
    <t>Construcción de bases para instalar puente grua de las Unidades de Agua Residual con capacidad de 20 toneladas en la Planta de Puerto Mallarino</t>
  </si>
  <si>
    <t>0267</t>
  </si>
  <si>
    <t>0268</t>
  </si>
  <si>
    <t>GAA0669</t>
  </si>
  <si>
    <t>FR-300-GAA-0136-2022</t>
  </si>
  <si>
    <t>Suministro e Instalación equipos de Instrumentación y Automatización</t>
  </si>
  <si>
    <t>0269</t>
  </si>
  <si>
    <t>FR-300-GAA-0137-2022</t>
  </si>
  <si>
    <t>Mantenimiento y Calibración sistemas de Pesaje Plantas de Tratamiento de Agua Potable</t>
  </si>
  <si>
    <t>0270</t>
  </si>
  <si>
    <t>GAA0668
GAA0244</t>
  </si>
  <si>
    <t>FR-300-GAA-0138-2022</t>
  </si>
  <si>
    <t>Suministro de Turbidímetro para la Planta de Tratamiento de Agua Potable Puerto Puerto Mallarino</t>
  </si>
  <si>
    <t>202203122
202202970</t>
  </si>
  <si>
    <t>0271</t>
  </si>
  <si>
    <t>FR-300-GAA-0134-2022</t>
  </si>
  <si>
    <t>Realizar la Interventoría tecnica, administrativa, financiera y legal del contrato que surja del proceso cuyo objeto es realizar la construcción para la optimización de las redes de acueducto en los barrios Puerto Mallarino, Simón Bolivar, El Lido, Colseguros, Saavedra Galindo.</t>
  </si>
  <si>
    <t>0272</t>
  </si>
  <si>
    <t>GE0207
GE0249</t>
  </si>
  <si>
    <t>FR-500-GE-0195-2022</t>
  </si>
  <si>
    <t>Suministro de materiales, elementos de ferretería, herramientas y elementos afines para EMCALI EICE ESP</t>
  </si>
  <si>
    <t>0273</t>
  </si>
  <si>
    <t>GE0218
GE0318</t>
  </si>
  <si>
    <t>FR-500-GE-0194-2022</t>
  </si>
  <si>
    <t>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t>
  </si>
  <si>
    <t>0275</t>
  </si>
  <si>
    <t>GE0284</t>
  </si>
  <si>
    <t>FR-500-GE-0127-2022</t>
  </si>
  <si>
    <t>Suministro e instalación de una red FAN WiSUN de estándares abiertos, que integre proveedores de medición inteligente de energía, sensorización de medio ambiente, alumbrado público inteligente y a la cual se pueda agregar una red WIFI público de alto desempeño.</t>
  </si>
  <si>
    <t>0276</t>
  </si>
  <si>
    <t>GE0291</t>
  </si>
  <si>
    <t>FR-500-GE-0196-2022</t>
  </si>
  <si>
    <t>Suministro DDP y configuaración de medidores ION SCHNEIDER 92040 para la calidad de la energía en subestaciones, , clase A.</t>
  </si>
  <si>
    <t>0277</t>
  </si>
  <si>
    <t>GTI0004</t>
  </si>
  <si>
    <t>FR-200-GTI-0097-2022</t>
  </si>
  <si>
    <t>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
Suministro e instalación de tomas de energía eléctrica regulada y No regulada.</t>
  </si>
  <si>
    <t>0278</t>
  </si>
  <si>
    <t>GHA0223
GHA0222</t>
  </si>
  <si>
    <t>FR-800-GHA-0139-2022</t>
  </si>
  <si>
    <t>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t>
  </si>
  <si>
    <t>202202571
202202573
202202574
202202575</t>
  </si>
  <si>
    <t>0279</t>
  </si>
  <si>
    <t>GHA0080</t>
  </si>
  <si>
    <t>Realizar las adecuaciones locativas en el Centro de Atención Yumbo y obras complementarias</t>
  </si>
  <si>
    <t>0280</t>
  </si>
  <si>
    <t>GHA0200</t>
  </si>
  <si>
    <t>FR-800-GHA-0151-2022</t>
  </si>
  <si>
    <t>Contrato Marco para realizar la Impermeabilización de la cubierta y adecuaciones locativas central telefonica Limonar en la Unidad de Gestión de Plataformas.</t>
  </si>
  <si>
    <t>202203022
202203124</t>
  </si>
  <si>
    <t>0281</t>
  </si>
  <si>
    <t>GHA0220
GHA0221</t>
  </si>
  <si>
    <t>FR-800-GAGHA-0138-2022</t>
  </si>
  <si>
    <t>Realizar la compra de un (1) camión de dos toneladas tipo furgón 4x2, con las adecuaciones requeridas por EMCALI EICE ESP, incluyendo el servicio de diez (10) mantenimientos preventivos</t>
  </si>
  <si>
    <t>0282</t>
  </si>
  <si>
    <t>GTI0021</t>
  </si>
  <si>
    <t>FR-200-GTI-0096-2022</t>
  </si>
  <si>
    <t>Contratar el servicio de soporte actualización y mantenimiento del software SAP</t>
  </si>
  <si>
    <t>202203525
202202915</t>
  </si>
  <si>
    <t>0283</t>
  </si>
  <si>
    <t>GTI0179</t>
  </si>
  <si>
    <t>FR-200-GTI-0099-2022</t>
  </si>
  <si>
    <t>Servicio de Soporte y Mantenimiento aplicativo JURISOFT</t>
  </si>
  <si>
    <t>0284</t>
  </si>
  <si>
    <t>GTI0106</t>
  </si>
  <si>
    <t>FR-200-GTI-0100-2022</t>
  </si>
  <si>
    <t>Servicio de Soporte y Mantenimiento aplicativo
DARUMA</t>
  </si>
  <si>
    <t>202201949
202203487</t>
  </si>
  <si>
    <t>0285</t>
  </si>
  <si>
    <t>900-IPU-0285-2022</t>
  </si>
  <si>
    <t>0286</t>
  </si>
  <si>
    <t>FR-300-GAA-0140-2022</t>
  </si>
  <si>
    <t>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t>
  </si>
  <si>
    <t>0287</t>
  </si>
  <si>
    <t>FR-300-GAA-0141-2022</t>
  </si>
  <si>
    <t>Optimización del funcionamiento hidraulico y estructural de la red secundaria de alcantarillado y la optimización de la red de acueducto en el barrio San Luis de Santiago de Cali.</t>
  </si>
  <si>
    <t>0288</t>
  </si>
  <si>
    <t>GAA0266
GAA0268</t>
  </si>
  <si>
    <t>FR-300-GAA-0139-2022</t>
  </si>
  <si>
    <t>Suministro e instalación de unidades de bombeo centrifugas PTAP y Bocatoma "La Reforma"</t>
  </si>
  <si>
    <t>202202917
202202918</t>
  </si>
  <si>
    <t>0289</t>
  </si>
  <si>
    <t>GTI0082</t>
  </si>
  <si>
    <t>FR-200-GTI-0098-2022</t>
  </si>
  <si>
    <t>Servicio en la nube (SaaS) del software AutoCad (AutoCad Full, AutoCad LT)</t>
  </si>
  <si>
    <t>0290</t>
  </si>
  <si>
    <t>GAA0703</t>
  </si>
  <si>
    <t>0291</t>
  </si>
  <si>
    <t>GAA0388
GAA0389
GAA0390
GAA0391</t>
  </si>
  <si>
    <t>FR-300-GAA-0143-2022</t>
  </si>
  <si>
    <t>Suministro de materiales, elementos de ferreteria, herramientas, equipos menores y elementos afines para la Unidad de Bombeo</t>
  </si>
  <si>
    <t>202201837
202201838
202201839
202201840</t>
  </si>
  <si>
    <t>0292</t>
  </si>
  <si>
    <t>GAA0636</t>
  </si>
  <si>
    <t>FR-300-GAA-0144-2022</t>
  </si>
  <si>
    <t>Suministro e Instalación de valvulas cheque para clorinadores PTAP</t>
  </si>
  <si>
    <t>0293</t>
  </si>
  <si>
    <t>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t>
  </si>
  <si>
    <t>0294</t>
  </si>
  <si>
    <t>GTI0027</t>
  </si>
  <si>
    <t>FR-200-GTI-0101-2022</t>
  </si>
  <si>
    <t>Renovación de las suscripciones en la nube de Microsoft Dynamics CRM</t>
  </si>
  <si>
    <t>0295</t>
  </si>
  <si>
    <t>GAA0374
GAA0375</t>
  </si>
  <si>
    <t>FR-300-GAA-0142-2022</t>
  </si>
  <si>
    <t>Suministro de elementos eléctricos para todas las estaciones de bombeo de aguas lluvias y/o residuales</t>
  </si>
  <si>
    <t>2 de noviembre en elaboracion de fpa y cc
9 de noviembre en elaboracion de la fpa y cc
17 DE DICIEMBRE EN EVALUACION SOBRE 1
18 DE ENERO SE AMPLIA LA SUSPENCION HASTA EL 28 DE FEBRERO
23 de marzo en rp en polizas
31 DE MARZO A LA ESPERA DE LAS POLIZAS POR PARTE DEL PROVEEDOR
7 DE ABRIL ENTREGADO AL AREA</t>
  </si>
  <si>
    <t>500-AO-1683-2022</t>
  </si>
  <si>
    <t>CONSORCIO SB MELENDEZ 115</t>
  </si>
  <si>
    <t>a partir de la firma  sin exceder  el 31 de diciembre de 2022</t>
  </si>
  <si>
    <t>si</t>
  </si>
  <si>
    <t>2 de noviembre en elaboracion de fpa e invitacion
9 de noviembre en revision de la CC por por parte del gerente jorge
4 DE ENERO SE ADENDO PARA PBLICAR RESPUESTA OBSERVACIONES EL JUEVES 6 DE ENERO.
18 DE ENERO EN RECEPCION DE OFERTAS
21 de enero en se adendo para solicitar  subasanbles el dia 25 de enero
2 de feberero solicitud de subsanables
23 de marzo en acta de adjudicacion
31 DE MARZO ALA ESPERA DE LAS POLIZAS POR PARTE DEL PROVEEDOR 
18 de abril entregado al area</t>
  </si>
  <si>
    <t>500-CO-1886-2022</t>
  </si>
  <si>
    <t>DELTEC SA</t>
  </si>
  <si>
    <t>Cuantía</t>
  </si>
  <si>
    <t>Mes para indicadores</t>
  </si>
  <si>
    <t>2 de noviembre en elaboracion de fpa e invitacion
9 de noviembre en revision de la CC por por parte del gerente jorge
18 DE ENERO EN RECEPCION DE OFERTAS
21 de enero en se adendo para solicitar  subasanbles el dia 25 de enero
2 de feberero solicitud de subsanables
23 de marzo en acta de adjudicacion
31 DE MARZO ALA ESPERA DE LAS POLIZAS POR PARTE DEL PROVEEDOR 
18 de abril entregado al area</t>
  </si>
  <si>
    <t>500-CO-1887-2022</t>
  </si>
  <si>
    <t>21 de enero en recepcion de ofertas
24 de enero en evaluacion dobre 1
2 de febrero esperando comité
23 de marzo en firma de la minuta. Se demoro porque se cambio el representante legal
31 de marzo en numeracion del contrato
5 de abril en espera de las polizas por parte del proveedor 
19 de abril en solicitud de polizas
23 DE ABRIL ENTREGADO AL AREA</t>
  </si>
  <si>
    <t>300-CMA-1892-2022</t>
  </si>
  <si>
    <t>INDETERMINADO</t>
  </si>
  <si>
    <t>23 de marzo esperando polizas del proveedor</t>
  </si>
  <si>
    <t>abr</t>
  </si>
  <si>
    <t>- Se suspende el proceso entre el 18 de enero y el 28 de feberero (42)
- Del 22 de marzo al 01 de abril entrega de pólizas (11)
- Semena Santa (9)</t>
  </si>
  <si>
    <t>´- Entre el 2 y el 17 de noviembre: Energía realiza ajustes a las Especificaciones Técnicas y el Formulario de Precios (17)
- Del 25 de nov al 6 de diciembre se aprueban las VF (12)
- Del 20 de dic al 12 de enero el área responde observaciones (20)
- El 25 de enero se retrotrae el proceso 7 días (7)
- Del 6 de al 23 de marzo la SG firma la aceptación (18)
- Semana Santa (9)</t>
  </si>
  <si>
    <t>´- Entre el 2 de febrero y el 23 de marzo el proceso se detuvo por cambio de representante legal del contratista (45)
- Del 5 al 19 de abril, se presenta demora por la entrega de las pólizas (10)
- Semana Santa (9)</t>
  </si>
  <si>
    <t>0168</t>
  </si>
  <si>
    <t>GAA0403</t>
  </si>
  <si>
    <t>FR-300-GAA-0042-2022</t>
  </si>
  <si>
    <t>Suministro polímero acondicionante de lodos para deshidratación, utilizado en el proceso de tratamiento de las aguas residuales en la PTAR C.</t>
  </si>
  <si>
    <t>31 DE MARZO ADELANTANDO OTRO SI PARA AJUSTE DE PRECIOS
20 DE ABRIL ESPERANDO EN SOLICITUD DE RP
28 DE ABRIL ENTREGADO AL AREA</t>
  </si>
  <si>
    <t>300-CMA-1242-2020/300-AO-1904-2022</t>
  </si>
  <si>
    <t>SNF COLOMBIA SAS</t>
  </si>
  <si>
    <t>TOCANCIPA</t>
  </si>
  <si>
    <t>0176</t>
  </si>
  <si>
    <t>GTI0003</t>
  </si>
  <si>
    <t>FR-200-GTI-0092-2022</t>
  </si>
  <si>
    <t>Adquirir e implementar PURE STORAGE crecimiento Scale-Out X50r3 /c40R3 247TB</t>
  </si>
  <si>
    <t>900-IPU-0176-2022</t>
  </si>
  <si>
    <t>31 de marzo esperando las polizas por parte del proveedor
6 ABRIL ENTREGADO AL AREA</t>
  </si>
  <si>
    <t>200-AO-1891-2022</t>
  </si>
  <si>
    <t>NOVOPANGEA GROUP SAS</t>
  </si>
  <si>
    <t>23 de marzo en elaboracon de fpa e invitacion
19 DE ABRIL recepcion de ofertas
5 DE MAYO EN EVALUACION DE OFERTAS
17 de mayo en publicacion del informe de evaluacion
24 DE MAYO A LA ESPERA DE POLIZAS</t>
  </si>
  <si>
    <t>may</t>
  </si>
  <si>
    <t>300-AO-1924-2022</t>
  </si>
  <si>
    <t>LACC INGENIERIA SAS</t>
  </si>
  <si>
    <t>0181</t>
  </si>
  <si>
    <t>GAA0267</t>
  </si>
  <si>
    <t>FR-300-GAA-0057-2022</t>
  </si>
  <si>
    <t>Suministro de luminarias LED para PTAP</t>
  </si>
  <si>
    <t>900-IPU-0181-2022</t>
  </si>
  <si>
    <t>23 de marzo eN evaluacion sobre 1
31 DE MARZO PUBLICACION DE INFORME DE EVALUACION
5 de abril en espera de las polizas por parte del proveedor
20 DE ABRIL EN APROBACION DE POLIZA
22 DE ABRIL ENTREGADO AL AREA</t>
  </si>
  <si>
    <t>300-AO-1893-2022</t>
  </si>
  <si>
    <t xml:space="preserve">EQUIPLECO SOLUCION INTEGRAL SAS </t>
  </si>
  <si>
    <t>2022-062</t>
  </si>
  <si>
    <t>31 de marzo en inteligencia de mercado
5 de abril en inteligencia de mercado
19 de abril en espera de la inteligencia par afirma de la doctora sandra
5 de mayo en repusta a observaciones
17 de mayo en revision de los subsanables
24 DE MAYO EL PROVEEDOR NO CUMPLE</t>
  </si>
  <si>
    <t>3 MESES</t>
  </si>
  <si>
    <t>31 de marzo en respuesta a observaciones
20 DE ABRIL EN SOLICITUD DE SUBSANABLES
5 DE MAYO EN ESPERA DE LAS POLIZAS
16 DE MAYO ENTREGADO AL AREA</t>
  </si>
  <si>
    <t>200-AO-1911-2022</t>
  </si>
  <si>
    <t>OPTIMA CONSULTING SAS</t>
  </si>
  <si>
    <t>0194</t>
  </si>
  <si>
    <t>FR-200-GTI-0093-2022</t>
  </si>
  <si>
    <t>EMCALI encarga al LICENCIANTE y este se obliga a ejecutar para aquel, las prestaciones de carácter informático que aplican respecto del software licenciado "Open SmartFlex"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t>
  </si>
  <si>
    <t>900-IPU-0194-2022</t>
  </si>
  <si>
    <t>31 de marzo listo para legalizar al area
1 DE ABRIL ENTREGADO AL AREA</t>
  </si>
  <si>
    <t>200-AO-1888-2022</t>
  </si>
  <si>
    <t>OPEN INTERNATIONAL SAS</t>
  </si>
  <si>
    <t>31 de marzo en espera de recepcion de ofertas el 5 de abril
20 DE ABRIL EN EVALIACION SOBRE 1
entregado al area
11 DE MAYO ENTREGADO AL AREA</t>
  </si>
  <si>
    <t>200-AO-1910-2022</t>
  </si>
  <si>
    <t>VIVENTI SAS</t>
  </si>
  <si>
    <t>0208</t>
  </si>
  <si>
    <t>GAA0652</t>
  </si>
  <si>
    <t>FR-300-GAA-0078-2022</t>
  </si>
  <si>
    <t>Suministro de Cloro, para ser utilizado en el tratamiento de agua potable para consumo humano</t>
  </si>
  <si>
    <t>31 DE MARZO EN APROBACION DE GARANTIAS
7 de abril entregado al area</t>
  </si>
  <si>
    <t>300-CMA-1243-2020/300-AO-1890-2022</t>
  </si>
  <si>
    <t>2022-107</t>
  </si>
  <si>
    <t>0209</t>
  </si>
  <si>
    <t>GAA0654</t>
  </si>
  <si>
    <t>FR-300-GAA-0079-2022</t>
  </si>
  <si>
    <t>Suministro de Coagulante para las plantas Río Cauca, Río Cali, La Reforma y La Rivera: Hidroxicloruro de Aluminio.</t>
  </si>
  <si>
    <t>31 DE MARZO EN EVALUACION
20 DE ABRIL ENTREGADO AL AREA</t>
  </si>
  <si>
    <t>300-CMA-1246-2020/300-AO-1902-2022</t>
  </si>
  <si>
    <t>2022-105</t>
  </si>
  <si>
    <t>0210</t>
  </si>
  <si>
    <t>GAA0653</t>
  </si>
  <si>
    <t>FR-300-GAA-0080-2022</t>
  </si>
  <si>
    <t>Suministro de Coagulante para ser utilizado en el tratamiento de Agua Potable para consumo humano</t>
  </si>
  <si>
    <t>31 DE MARZO EN EVALUACION</t>
  </si>
  <si>
    <t>300-CMA-1245-2020/300-AO-1901-2022</t>
  </si>
  <si>
    <t>16 DE JULIO 2022</t>
  </si>
  <si>
    <t>31 de marzo en aceptacion de la oferta
5 de abril en rp
19 en abril en espera de las polizas por parte del proveedor
03 DE MAYO ENTREGADO AL AREA</t>
  </si>
  <si>
    <t>300-CMA-1241-2020/300-AO-1896-2022</t>
  </si>
  <si>
    <t>23 de marzo a la espera de la firma de la jefe sandra de la fpa e invitacion
26 DE ABRIL ENTREGADO AL AREA</t>
  </si>
  <si>
    <t>500-CMA-1743-2021/500-AO-1900-2022</t>
  </si>
  <si>
    <t>2022-073</t>
  </si>
  <si>
    <t>0215</t>
  </si>
  <si>
    <t>GTI0178
GTI0177</t>
  </si>
  <si>
    <t>900-IPU-0215-2022</t>
  </si>
  <si>
    <t>31 de marzo evaluacion sobre 1
20 DE ABRIL EN SOLICITUD DE RP Y POLIZAS
27 de abril entregado al area</t>
  </si>
  <si>
    <t>200-AO-1903-2022</t>
  </si>
  <si>
    <t>THE BEST EXPERIENCE IN TECHNOLOGY SAS</t>
  </si>
  <si>
    <t>5 de mayo entregado al area</t>
  </si>
  <si>
    <t>500-CMA-1743-2021/500-AO-1905-2022</t>
  </si>
  <si>
    <t>CABLES DE ENERGIA Y TELECOMUNICACIONES SA</t>
  </si>
  <si>
    <t>2022-079</t>
  </si>
  <si>
    <t>0239</t>
  </si>
  <si>
    <t>GHA0075</t>
  </si>
  <si>
    <t>FR-800-GAGHA-0147-2022</t>
  </si>
  <si>
    <t>800-AC-2040-2021</t>
  </si>
  <si>
    <t>Silla Interlocutora estructura metálica pintada, espaldar en carcasa plástica negra, tapizada en paño</t>
  </si>
  <si>
    <t>AC</t>
  </si>
  <si>
    <t>19 DE ABRIL SE RECIBIERON PROPUESTAS
27 DE ABRIL ENTREGADO AL AREA</t>
  </si>
  <si>
    <t>800-AC-2040-2021/800-AO-1908-2022</t>
  </si>
  <si>
    <t xml:space="preserve">MADE MUEBLES DE COLOMBIA </t>
  </si>
  <si>
    <t>2022-094</t>
  </si>
  <si>
    <t>5 DE MAYO EN REVISION POR PARTE DE LA COORDINADORA
23 DE MAYO ENTREGADO AL AREA</t>
  </si>
  <si>
    <t>9 de mayo para solicitud de polizas
13 DE MAYO ENTREGADO AL AREA</t>
  </si>
  <si>
    <t>800-CMA-1913-2021/800-AO-1909-2022</t>
  </si>
  <si>
    <t>GUSTAVO ADOLFO  TORRES DUARTE</t>
  </si>
  <si>
    <t>23 de marzo esperando la firma del gerente jorge
31 DE MARZO EN RESPUESTA A OBSERVACIONES Y ADENDA
5 de abril se reciben ofertas el 7 de abril
19 de abril en solicitud de subsanables
9 DE MAYO SE CERRO PORQUE LOS DOS PROPONENTES QUEDARON INADMISIBLES</t>
  </si>
  <si>
    <t>31 DE MARZO PUBLICADO 
5 de abril en respuesta a observaciones
20 DE ABRIL EN RECEPCION DE OFERTAS
4 DE MAYO APERTURA DE URNA
5 DE MAYO SE CIERRA PORQUE LOS PROVEEDORES QUE SE PRESENTARON NO ESTAN REGISTRADOS</t>
  </si>
  <si>
    <t>900-IPU-0198-2022</t>
  </si>
  <si>
    <t>23 de marzo en elaboracon de fpa e invitacion
31 DE MARZO PENDIENTE LA FIRMA DEL GERENTE PARA PUBLICAR
20 de abril se reciben ofertas
6 DEMAYO SE PUBLICO ACTA DE CIERRE</t>
  </si>
  <si>
    <t>900-IPU-0267-2022</t>
  </si>
  <si>
    <t>28 de abril publicado 
11 de mayo se reciben ofertas
17 DE MAYO SE CERRO PORQUE NINGUN OFERENTE SE PRESENTO</t>
  </si>
  <si>
    <t>900-IPU-0209-2022</t>
  </si>
  <si>
    <t>17 de mayo el area solicito unos ajustes y solicito devolverla</t>
  </si>
  <si>
    <t>FR-800-GHA-0145-2022</t>
  </si>
  <si>
    <t>900-CMA-1925-2022</t>
  </si>
  <si>
    <t>5 de mayo se devolvio al area para que se incluya en el contrato marco de locativos</t>
  </si>
  <si>
    <t>900-IPU-0292-2022</t>
  </si>
  <si>
    <t>Este proceso en el principio fue asignado a adalberto pero se reasigno el dia 9 de mayo a juan david rodriguez
17 de mayo en elaboracion de la fpa y cc
20 DE MAYO POR SOLICITUD DEL AREA SE DEVUELVE</t>
  </si>
  <si>
    <t>Adjudicacion</t>
  </si>
  <si>
    <t>23 de marzo en inteligencia de mercado
31 DE MARZO EN INTELIGENCIA
5 de abril en inteligencia de mercado
19 de abril en inteligencia de mercado
4 de mayo publicado
17 de mayo en recepcion de ofertas
24 DE MAYO SE CIERRA PORQUE LOS QUE SE PRESENTARON NO ESTAB EN REGISTRO DE PROVEEDORES</t>
  </si>
  <si>
    <t xml:space="preserve">23 de marzo inteligencia de mercado
31 DE MARZO EN INTELIGENCIA DE MERCADO
19 DE ABRIL EN INTELIGENCIA DE MERCADO
5 de mayo en inteligecia de mercado por mario arevalo
17 de mayo en inteligencia de mercado </t>
  </si>
  <si>
    <t>31 DE MARZO ADELANTANDO OTRO SI PARA AJUSTE DE PRECIOS
20 DE ABRIL ESPERANDO OTRO SI
17 de mayo en evaluacion de ofertas
23 DE MAYO EN ELABORACION DE LA ACEPTAC ION DE LA OFERTA</t>
  </si>
  <si>
    <t>900-IPU-0219-2022</t>
  </si>
  <si>
    <t>900-IPU-0221-2022</t>
  </si>
  <si>
    <t>900-IPU-0234-2022</t>
  </si>
  <si>
    <t>900-IPU-0250-2022</t>
  </si>
  <si>
    <t>25 DE ABRIL REASIGNAD0 A HAROLD MONDRAGON POR PARTE DE ANA MARIA GIL
9 de mayo en elaboracion de la fpa y cc
17 de mayo en inteligencia de mercado
24 DE MAYO EN INTELIGENCIA DE MERCADO</t>
  </si>
  <si>
    <t>900-IPU-0252-2022</t>
  </si>
  <si>
    <t>900-IPU-0253-2022</t>
  </si>
  <si>
    <t>900-IPU-0254-2022</t>
  </si>
  <si>
    <t>900-IPU-0255-2022</t>
  </si>
  <si>
    <t>900-IPU-0256-2022</t>
  </si>
  <si>
    <t>900-IPU-0258-2022</t>
  </si>
  <si>
    <t>900-IPU-0259-2022</t>
  </si>
  <si>
    <t>900-IPU-0263-2022</t>
  </si>
  <si>
    <t>900-IPU-0265-2022</t>
  </si>
  <si>
    <t>900-IPU-0266-2022</t>
  </si>
  <si>
    <t>900-IPU-0268-2022</t>
  </si>
  <si>
    <t>900-IPU-0269-2022</t>
  </si>
  <si>
    <t>900-IPU-0270-2022</t>
  </si>
  <si>
    <t>5 DE MAYO EN INTELIGENCIA DE MERCADO
17 de mayo en inteligencia de mercado
24 DE MAYO EN INTELIGENCIA DE MERCADO</t>
  </si>
  <si>
    <t>900-IPU-0271-2022</t>
  </si>
  <si>
    <t>900-IPU-0275-2022</t>
  </si>
  <si>
    <t>900-IPU-0276-2022</t>
  </si>
  <si>
    <t>JULIETA ORTIZ</t>
  </si>
  <si>
    <t>900-IPU-0278-2022</t>
  </si>
  <si>
    <t>900-IPU-0283-2022</t>
  </si>
  <si>
    <t>900-IPU-0284-2022</t>
  </si>
  <si>
    <t>900-IPU-0286-2022</t>
  </si>
  <si>
    <t>900-IPU-0287-2022</t>
  </si>
  <si>
    <t>900-IPU-0288-2022</t>
  </si>
  <si>
    <t>900-IPU-293-2022</t>
  </si>
  <si>
    <t>0296</t>
  </si>
  <si>
    <t>GHA0202</t>
  </si>
  <si>
    <t>FR-800-GAGHA-0153-2022</t>
  </si>
  <si>
    <t>Contrato Marco para realizar los mantenimientos locativos, en la Gerencia Unidad Estrategica de Negocio de Energía</t>
  </si>
  <si>
    <t>0297</t>
  </si>
  <si>
    <t>GHA0230</t>
  </si>
  <si>
    <t>FR-800-GAGHA-0154-2022</t>
  </si>
  <si>
    <t>Contrato Marco para realizar los mantenimientos  locativos, en las Gerencias adscritas al corporativo, que surjan de improviso</t>
  </si>
  <si>
    <t>0298</t>
  </si>
  <si>
    <t>GHA0235</t>
  </si>
  <si>
    <t>FR-800-GAGHA-0155-2022</t>
  </si>
  <si>
    <t>Contrato Marco para realizar los mantenimientos locativos, en las sedes adscritas a la Gerencia de Unidad de Negocio de Tecnología de la Información y Telecomunicaciones de EMCALI EICE ESP, que surjan de improviso</t>
  </si>
  <si>
    <t>0299</t>
  </si>
  <si>
    <t>GHA0070</t>
  </si>
  <si>
    <t>FR-800-GAGHA-0149-2022</t>
  </si>
  <si>
    <t>Compra de papel fotocopia blanco láser tamaño carta y oficio de 75 gramos con logo de EMCALI y sin logo.</t>
  </si>
  <si>
    <t>202203488
202202709
202202956</t>
  </si>
  <si>
    <t>0300</t>
  </si>
  <si>
    <t>GE0319</t>
  </si>
  <si>
    <t>FR-500-GE-0198-2022</t>
  </si>
  <si>
    <t>Realizar el mantenimiento preventivo a las redes eléctricas del SDL de energía, consistente en la poda técnica de árboles que interfieren con las redes de energía eléctrica energizadas y el control de malezas en las subestaciones de energía de la GUENE.</t>
  </si>
  <si>
    <t>900-IPU-0300-2022</t>
  </si>
  <si>
    <t>0301</t>
  </si>
  <si>
    <t>GAA0667</t>
  </si>
  <si>
    <t>FR-300-GAA-0148-2022</t>
  </si>
  <si>
    <t>Suministro valvulas bocatoma Río Cauca</t>
  </si>
  <si>
    <t>900-IPU-0301-2022</t>
  </si>
  <si>
    <t>0302</t>
  </si>
  <si>
    <t>GAA0623</t>
  </si>
  <si>
    <t>FR-300-GAA-0145-2022</t>
  </si>
  <si>
    <t>Overhaul Unidades de Bombeo para las Plantas de Tratamiento de Agua Potable de la Rivera, Río Cali y La Reforma</t>
  </si>
  <si>
    <t>0303</t>
  </si>
  <si>
    <t>GAA0303</t>
  </si>
  <si>
    <t>900-IPU-0303-2022</t>
  </si>
  <si>
    <t>0304</t>
  </si>
  <si>
    <t>GTI0183</t>
  </si>
  <si>
    <t>FR-200-GTI-0103-2022</t>
  </si>
  <si>
    <t>Prestar los servicios de Cloud Funtional Services, Features y Parameters para la solución SAP Ariba Sourcing Suite de EMCALI EICE ESP</t>
  </si>
  <si>
    <t>0305</t>
  </si>
  <si>
    <t>GE0323</t>
  </si>
  <si>
    <t>FR-500-GE-0192-2022</t>
  </si>
  <si>
    <t>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</si>
  <si>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24 DE MAYO EN SOLICITUD DE POLIZAS</t>
  </si>
  <si>
    <t>0306</t>
  </si>
  <si>
    <t>GTI0063</t>
  </si>
  <si>
    <t>FR-200-GTI-0104-2022</t>
  </si>
  <si>
    <t>Suscripción por un año, para obtener los servicios de soporte remoto, solución de fallas, actualización de software parches de seguridad entre otros sobre licenciamiento Liferay que soporta el portal y la Intranet de EMCALI</t>
  </si>
  <si>
    <t>202201910
202203591</t>
  </si>
  <si>
    <t>0307</t>
  </si>
  <si>
    <t>GAA0706</t>
  </si>
  <si>
    <t>FR-300-GAA-0149-2022</t>
  </si>
  <si>
    <t>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t>
  </si>
  <si>
    <t>900-IPU-0307-2022</t>
  </si>
  <si>
    <t>0308</t>
  </si>
  <si>
    <t>FR-300-GAA-0150-2022</t>
  </si>
  <si>
    <t>Suministrar coagulante líquido para ser utilizado en el tratamiento de las aguas residuales en la PTAR C.</t>
  </si>
  <si>
    <t>0309</t>
  </si>
  <si>
    <t>GAA0580</t>
  </si>
  <si>
    <t>FR-300-GAA-0146-2022</t>
  </si>
  <si>
    <t>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t>
  </si>
  <si>
    <t>0310</t>
  </si>
  <si>
    <t>GE0324</t>
  </si>
  <si>
    <t>FR-500-GE-0197-2022</t>
  </si>
  <si>
    <t>Suministro de Medidores de Energía Electronicos para Medida Directa</t>
  </si>
  <si>
    <t>900-IPU-0310-2022</t>
  </si>
  <si>
    <t>0311</t>
  </si>
  <si>
    <t>GE0243</t>
  </si>
  <si>
    <t>FR-500-GE-0200-2022</t>
  </si>
  <si>
    <t>Suministro de Equipo Cabrestante Portacarrete Portatil Motorizado</t>
  </si>
  <si>
    <t>900-IPU-0311-2022</t>
  </si>
  <si>
    <t>0312</t>
  </si>
  <si>
    <t>GG0113</t>
  </si>
  <si>
    <t>FR-100-GG-0092-2022</t>
  </si>
  <si>
    <t>Prestación de servicios para realizar la Auditoría Externa de Gestión y Resultados de los prestadores de servicios públicos domiciliarios de energía eléctrica y gas combustible, conforme lo establece la Resolución 20211000555175 de octubre de 2021</t>
  </si>
  <si>
    <t>900-IPU-0312-2022</t>
  </si>
  <si>
    <t>0313</t>
  </si>
  <si>
    <t>900-IPU-0313-2022</t>
  </si>
  <si>
    <t>0314</t>
  </si>
  <si>
    <t>GAA0378</t>
  </si>
  <si>
    <t>FR-300-GAA-0151-2022</t>
  </si>
  <si>
    <t>Mantenimiento equipos menores estaciones de bombeo de aguas lluvias y/o residuales</t>
  </si>
  <si>
    <t>0315</t>
  </si>
  <si>
    <t>FR-500-GE-0202-2022</t>
  </si>
  <si>
    <t>Realizar empradización de la Plaza de Caycedo y Suministro de rollos de plástico</t>
  </si>
  <si>
    <t>0316</t>
  </si>
  <si>
    <t>GT0231</t>
  </si>
  <si>
    <t>FR-400-GT-0159-2022</t>
  </si>
  <si>
    <t>Suministro de tarjetas de OLT de existentes y chasis, con el fin de contar con disponibilidad de puertos para el desarrollo del proyecto de 160,000 casa pasadas (HHPP) que permitirá comercializar los productos del portafolio de servicios de la UENTIC de EMCALI</t>
  </si>
  <si>
    <t>900-IPU-0316-2022</t>
  </si>
  <si>
    <t>0317</t>
  </si>
  <si>
    <t>0318</t>
  </si>
  <si>
    <t>FR-300-GAA-0153-2022</t>
  </si>
  <si>
    <t>Renovar los componentes priorizados del sistema de filtración de las PTAPS de la Red Alta (Río Cali y La Reforma)</t>
  </si>
  <si>
    <t>0319</t>
  </si>
  <si>
    <t>GAA0712</t>
  </si>
  <si>
    <t>FR-300-GAA-0154-2022</t>
  </si>
  <si>
    <t>0320</t>
  </si>
  <si>
    <t>GAA0710</t>
  </si>
  <si>
    <t>FR-300-GAA-0155-2022</t>
  </si>
  <si>
    <t>Revisión de 10 diseños para adecuar el sistema electromecanico de las plantas de tratamiento de agua potable proyecto CONPES</t>
  </si>
  <si>
    <t>0321</t>
  </si>
  <si>
    <t>GAA0674</t>
  </si>
  <si>
    <t>FR-300-GAA-0156-2022</t>
  </si>
  <si>
    <t>202203516
202203518</t>
  </si>
  <si>
    <t>0322</t>
  </si>
  <si>
    <t>GT0130</t>
  </si>
  <si>
    <t>FR-400-GT-0161-2022</t>
  </si>
  <si>
    <t>Suministro de Cables BCH y alambres de cobre para el mantenimiento e instalación de las redes de Acceso de los servicios de telecomunicaciones</t>
  </si>
  <si>
    <t>202202435
202202484</t>
  </si>
  <si>
    <t>0323</t>
  </si>
  <si>
    <t>GAA0713</t>
  </si>
  <si>
    <t>FR-300-GAA-0158-2022</t>
  </si>
  <si>
    <t>0324</t>
  </si>
  <si>
    <t>GE0325</t>
  </si>
  <si>
    <t>FR-500-GE-0205-2022</t>
  </si>
  <si>
    <t>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t>
  </si>
  <si>
    <t>0325</t>
  </si>
  <si>
    <t>GAA0705</t>
  </si>
  <si>
    <t>FR-300-GAA-0152-2022</t>
  </si>
  <si>
    <t>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t>
  </si>
  <si>
    <t>0326</t>
  </si>
  <si>
    <t>GHA0226</t>
  </si>
  <si>
    <t>FR-800-GHA-0160-2022</t>
  </si>
  <si>
    <t>Realizar la compra de cuatro (4) camiones con carrocería tipo grúa canasta aislada con altura del piso hasta la base de la cesta 12mts, con las adecuaciones requeridas por EMCALI EICE ESP.</t>
  </si>
  <si>
    <t>0327</t>
  </si>
  <si>
    <t>GE0222
GE0229
GE0321
GE0322
GE0326</t>
  </si>
  <si>
    <t>FR-500-GE-0199-2022</t>
  </si>
  <si>
    <t>Suministro de materiales y elementos de protección eléctrica para ser instalados en redes y subestaciones de energía</t>
  </si>
  <si>
    <t>0328</t>
  </si>
  <si>
    <t>GHA0071</t>
  </si>
  <si>
    <t>FR-800-GHA-0158-2022</t>
  </si>
  <si>
    <t>Suministro de elementos de ferretería, para el suministro de materiales, herramientas y elementosa fines para EMCALI EICE ESP.</t>
  </si>
  <si>
    <t>0329</t>
  </si>
  <si>
    <t>GT0131</t>
  </si>
  <si>
    <t>FR-400-GT-0158-2022</t>
  </si>
  <si>
    <t>Suministro y capacitación de EQUIPOS DE COMUNICACIONES Y software de Gestión de Redes Inalambricas Site Survey, para apoyar y soportar las isntalaciones de soluciones de Gobierno, Corporativas y/o empresariales y eventos</t>
  </si>
  <si>
    <t>0330</t>
  </si>
  <si>
    <t>GHA0231
GHA0232</t>
  </si>
  <si>
    <t>FR-800-GHA-0152-2022</t>
  </si>
  <si>
    <t>Contrato Marco para realizar los Mantenimientos Locativos, en la Gerencia de Unidad Estrategica de Negocio de Acueducto y Alcantarillado, que surjan de imprevisto</t>
  </si>
  <si>
    <t>Sin deducciones</t>
  </si>
  <si>
    <t>300-CMA-1743-2021/500-AO-1915-2022</t>
  </si>
  <si>
    <t>31 de marzo en inteligencia de mercado
20 de abril a la espera de inteligencias de mercado
5 de mayo en revision de la cc por parte de silvia por cambio de formatos
24 DE MAYO EN RECEPCION DE OFERTAS SE RECIBEN EL 26 DE MAYO
8 de junio se cerro porque el oferente no presento poiza de la seriedad de la oferta.</t>
  </si>
  <si>
    <t xml:space="preserve">CERRADO PARA TRAMITAR COMO IP </t>
  </si>
  <si>
    <t>31 de marzo en elaboracion de fpay cc
20 DE ABRIL EN INTELIGENCIA DE MERCADO
5 DE MAYO EN INTELIGENCIA DE MERCADO
17 de mayo en revision de la fpa y cc
24 DE MAYO EN RECEPCION DE OBSERVACIONES
8 de junio en evaluacion sobre1
30 de junio acta de cierre</t>
  </si>
  <si>
    <t>31 DE MARZO EN SOLICITUD DE CONCEPTOS
5 de abril en elaboracion de la fpa
20 DE ABRIL EN INTELIGENCIA DE MERCADO
5 DE MAYO EN INTELIGENCIA DE MERCADO
17 de mayo en inteligencia de mercado
24 DEMAYO EN INTELIGENCIA DE MERCADO
8 DE JUNIO SE CIERRA PARA DARLE TRAMITE COMO IP DESPUES DE QUE FINALICE LA LEY DE GARANTIAS</t>
  </si>
  <si>
    <t xml:space="preserve">31 de marzo en inteligencia de mercado
20 de abril a la espera de inteligencias de mercado
5 de mayo en inteligencia de mercado
23 DE MAYO EN RECEPCION DE OBSERVACIONES
8 DE JUNIO EN RESPUESTA A OBSERVACIONES YA QUE SE ADENDO AMPLIANDO CRONOGRAMA PARA INCLUIR AUDIENCIA DE PRESICION DE CONDICIONES DE CONTRATACION
17 de junio se cerro porque nadie se presento
</t>
  </si>
  <si>
    <t xml:space="preserve">20 de abril a la espera de inteligencias de mercado
5 de mayo en inteligencia de mercado
23 DE MAYO EN RECEPCION DE OBSERVACIONES
8 DE JUNIO EN RESPUESTA A OBSERVACIONES YA QUE SE ADENDO AMPLIANDO CRONOGRAMA PARA INCLUIR AUDIENCIA DE PRESICION DE CONDICIONES DE CONTRATACION
</t>
  </si>
  <si>
    <t>20 DE ABRIL EN INTELIGENCIA DE MERCADO
17 de mayo en inteligencia de mercado
24 DE MAYO EN INTELIGENCIA DE MERCADO
8 de junio se cierra porque se va a tramitar por ip despues de la ley de garantias</t>
  </si>
  <si>
    <t>5 de abril en solicitud de conceptos
19 DE ABRIL EN ELABORACION DE LA FPA
4 de mayo enr evision gae
10 de mayo publicado
17 de mayo en rececpion de observaciones
24 DE MAYO EN RECEPCION DE OFERTAS
9 DE JUNIO CERRADO PORQUE NO SE PRESENTO NADIE</t>
  </si>
  <si>
    <t>20 DE ABRIL EN REVISION DE LA FPA
5 DE MAYO EN RESPUESTA A OBSRVACIONES
17 de mayo en evaluacion sobre 1
06/06/2022 CERRADO  PORQUE EL OFERENTE NO SUBASANO</t>
  </si>
  <si>
    <t>5 DE MAYO EN INTELIGENCIA DE MERCADO POR VIVIANA SALDARRIAGA
17 DE MAYO EN REVISION DE LA FPA Y CC
24 DEMAYO EN REVISION DE LA CC
2 DE JUNIO SE TRAMITARA COMO PRIVADA</t>
  </si>
  <si>
    <t>5 DE MAYO EN INTELIGENCIA DE MERCADO POR MARIO AREVALO
17 de mayo en inteligencia de mercado
23 DE MAYO EN INTELEIGENCIA DE MERCADO
2 DE JUNIO SE TRAMITARA COMO PRIVADA</t>
  </si>
  <si>
    <t>5 DE MAYO EN INTELIGENCIA DE MERCADO POR JULIO ERAZO
17 de mayo en inteligencia de mercado
23 DE MAYO EN INTELEIGENCIA DE MERCADO
3 DE JUNIO ESPERANDO INTELIGENCIA</t>
  </si>
  <si>
    <t>9 de mayo en elaboracion de la fpa y cc
24 DE MAYO SE PUBLICARA
9 DE JUNIO CERRADO POR FALTA DE PRESUPUESTO</t>
  </si>
  <si>
    <t>no</t>
  </si>
  <si>
    <t>5 DE MAYO EN ELABORACION DE LA FPA Y CC
17 de mayo en respuesta a observaciones
9 de junio cerrado porque se declaro desierto</t>
  </si>
  <si>
    <t>5 DE MAYO EN ELABORACION DE LA FPA Y CC
17 de mayo publicado
23 DE MAYO EN EVALUACION SOBRE 1
3 DE JUNIO EN EVALUACION SOBRE 1
9 de junio en evaluacion sobre 1
17 DE JUNIO CERRADO PORQUE QUEDO INADMISIBLE</t>
  </si>
  <si>
    <t>17 de mayo en inteligencia de mercado
24 DE MAYO EN INTELIGENCIA DE MERCADO
9 de junio pendiente firma de la fpa y cc</t>
  </si>
  <si>
    <t xml:space="preserve">24 DE MAYO EN SOLICITUD DE CONCEPTOS Y ESPRANDO INFO DEL AREA
2 de Junio en espera de la IM
8 de junio se cierra para realizarlo por IP </t>
  </si>
  <si>
    <t>24 DE MAYO EN ELABORACION DE FPA E INVITACION SE MANEJARA COMO IP
8 de junio se cierra porque se va a tramitar por ip despues de la ley de garantias</t>
  </si>
  <si>
    <t>25 DE MAYO ELABOORACION FPA</t>
  </si>
  <si>
    <t>25 DE MAYO EN ELABORACION FPA
9 DE JUNIO SE CIERRA PARA REALIZAR POR IP</t>
  </si>
  <si>
    <t>Pasa de píublica a privada</t>
  </si>
  <si>
    <t>R P</t>
  </si>
  <si>
    <t>8 Junio se devuelve al area para sacarlo como ip pero el area va hacer varias modificaciones.</t>
  </si>
  <si>
    <t>el area debe hacer la justificacion para hacer el otro si</t>
  </si>
  <si>
    <t>21 DE ENERO CONTINUA EN ELABORACION DE LA FPA PORQUE EL AREA SE LE HAN SOLCIITADO VARIAS MODIFICACIOENS EN LAS FICHAS DE REQUERIMIENTOS
26 DE ENERO EN REVISION DE LA FPA E INVITACION
06 de mayo en recepcion de ofertas, se reciben el 11  de mayo
23 DE MAYO EN EVALUACION SOBRE 1
9 de junio en evaluacion
30 de junio esperando informe de evaluacion tecnica</t>
  </si>
  <si>
    <t>Aprobacion de polizas</t>
  </si>
  <si>
    <t>31 DE MARZO ADELANTANDO OTRO SI PARA AJUSTE DE PRECIOS
20 DE ABRIL ESPERANDO OTRO SI 
17 de mayo en invitacion de ofertas
23 DE MAYO EN ACEPTACION DE OFERTA
9 de junio en aprobacion de garantia</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</si>
  <si>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t>
  </si>
  <si>
    <t>20 de abril a la espera de inteligencias de mercado
5 de mayo en inteligencia de mercado
23 DE MAYO RESPUESTA A OBSERVACIONES
8 DE JUNIO EN EVALUACION SOBRE 1
17 DE JUNIO EN EVALUACION SOBRE 1
30 de junio en evaluacion sobre 2</t>
  </si>
  <si>
    <t>5 de abril en elaboracion de fpa
5 DE MAYO A LA ESPERA QUE EL PROVEEDOR SE ACOJA A LOS PRECIOSA TECHO
24 DE MAYO RECEPCION DE OFERTA
9 de junio esperando polizas del proveedor</t>
  </si>
  <si>
    <t>500-CMA-1743-2021/300-AO-1944-2022</t>
  </si>
  <si>
    <t>5 de abril en solicitud de conceptos
20 DE ABRIL EN ELABORACION DE FPA Y CC
6 DE MAYO REASIGNADO A HAROLD MONDRAGON
9 de mayo en recepcion de ofertas
17 de mayo esperando subsanables
24 DE MAYO EN EVALUACION SOBRE 2
9 DE JUNIO ESPERANDO  COMITÉ
30 de junio esperando las polizas por parte del proveedor</t>
  </si>
  <si>
    <t>5 DE MAYO DE ELABORACION DE LA FPA
17 DE MAYO EN REVISION DE LA FPA Y CC
23 DE MAO SE PUBLICO
9 de junio en recepcion de subsanables
17 de junio en evaluacion sobre 2
30 de junio en evaluacion sobre 2</t>
  </si>
  <si>
    <t>900-IPU-0295-2022</t>
  </si>
  <si>
    <t>17 de mayo para la firma de Memorando de devolucion por parte del Gerente de la GAE
19 DE MAYO SE ENVIO CORREO AL AREA PARA SOLICITAR JUSTIFICACION DE OTRO SI
9 de junio continua en la espera de la justificacion para el otro si
30 de junio esprando justificacion para otro si</t>
  </si>
  <si>
    <t>17 de mayo para la firma de Memorando de devolucion por parte del Gerente de la GAE
19 DE MAYO SE ENVIO CORREO AL AREA PARA SOLICITAR JUSTIFICACION DE OTRO SI
9 de junio continua en la espera de la justificacion para el otro si
30 de junio esprando justificacion para otro s</t>
  </si>
  <si>
    <t>900-IP-0315-2022</t>
  </si>
  <si>
    <t>900-IPU-0317-2022</t>
  </si>
  <si>
    <t>900-IPU-0318-2022</t>
  </si>
  <si>
    <t>9 de junio en invitacion a ofertar</t>
  </si>
  <si>
    <t>900-IP-0320-2022</t>
  </si>
  <si>
    <t>9 de junio en aceptacion de la oferta.
30 de junio en solicitud de polizas</t>
  </si>
  <si>
    <t>900-IPU-0325-2022</t>
  </si>
  <si>
    <t>900-IPU-0329-2022</t>
  </si>
  <si>
    <t>0331</t>
  </si>
  <si>
    <t>GAA0708</t>
  </si>
  <si>
    <t>FR-300-GAA-0258-2022</t>
  </si>
  <si>
    <t>0332</t>
  </si>
  <si>
    <t>GE0333</t>
  </si>
  <si>
    <t>FR-500-GE-0210-2022</t>
  </si>
  <si>
    <t>0333</t>
  </si>
  <si>
    <t>GE0332</t>
  </si>
  <si>
    <t>FR-500-GE-0209-2022</t>
  </si>
  <si>
    <t>Suministro de Cables, para redes de Media y Baja Tensión del SDL de EMCALI.</t>
  </si>
  <si>
    <t>0334</t>
  </si>
  <si>
    <t>GE0331</t>
  </si>
  <si>
    <t>FR-500-GE-0206-2022</t>
  </si>
  <si>
    <t>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</si>
  <si>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30 de junio en solicitud de polizas</t>
  </si>
  <si>
    <t>0335</t>
  </si>
  <si>
    <t>GTI0184</t>
  </si>
  <si>
    <t>Contratar el servicio de soporte actualización y mantenimiento del Software SAP</t>
  </si>
  <si>
    <t>0336</t>
  </si>
  <si>
    <t>900-IP-0336-2022</t>
  </si>
  <si>
    <t>0337</t>
  </si>
  <si>
    <t>GE0252</t>
  </si>
  <si>
    <t>FR-500-GE-0207-2022</t>
  </si>
  <si>
    <t>Suministro de ANTENAS YAGI</t>
  </si>
  <si>
    <t>0338</t>
  </si>
  <si>
    <t>900-IP-0338-2022</t>
  </si>
  <si>
    <t>0339</t>
  </si>
  <si>
    <t>GT0138
GT0201</t>
  </si>
  <si>
    <t>FR-400-GT-0156-2022</t>
  </si>
  <si>
    <t>Dotación de componentes especializados para el mantenimiento de redes de acceso en fibra óptica, para el personal de la GUENTIC</t>
  </si>
  <si>
    <t>202202913
202202886</t>
  </si>
  <si>
    <t>0340</t>
  </si>
  <si>
    <t>GT0172</t>
  </si>
  <si>
    <t>FR-400-GT-0163-2022</t>
  </si>
  <si>
    <t>Reparación de Motobombas</t>
  </si>
  <si>
    <t>0341</t>
  </si>
  <si>
    <t>GT0174</t>
  </si>
  <si>
    <t>FR-400-GT-0165-2022</t>
  </si>
  <si>
    <t>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t>
  </si>
  <si>
    <t>0342</t>
  </si>
  <si>
    <t>GF</t>
  </si>
  <si>
    <t>GF0071</t>
  </si>
  <si>
    <t>FR-700-GF-0062-2022</t>
  </si>
  <si>
    <t>Adquisición de un (1) HORNO MICROONDAS de uso industrial (trabajo pesado) para la Gerencia Financiera.</t>
  </si>
  <si>
    <t>0343</t>
  </si>
  <si>
    <t>GAA0213</t>
  </si>
  <si>
    <t>FR-300-GAA-0157-2022</t>
  </si>
  <si>
    <t>Reponer válvulas y Actuadores en diferentes sistemas de tratamiento de la PTAP Río Cali</t>
  </si>
  <si>
    <t>900-IPU-0343-2022</t>
  </si>
  <si>
    <t>0344</t>
  </si>
  <si>
    <t>Suministro de equipos y Elementos para la medición de variables para el proceso de tratamiento de la PTAR-C</t>
  </si>
  <si>
    <t>900-IP-0344-2022</t>
  </si>
  <si>
    <t>0345</t>
  </si>
  <si>
    <t>GAA0715</t>
  </si>
  <si>
    <t>FR-300-GAA-0162-2022</t>
  </si>
  <si>
    <t>Mantenimiento de las Casetas de Protección</t>
  </si>
  <si>
    <t>0347</t>
  </si>
  <si>
    <t>0348</t>
  </si>
  <si>
    <t>Cotizaciones</t>
  </si>
  <si>
    <t>0349</t>
  </si>
  <si>
    <t>0350</t>
  </si>
  <si>
    <t>0352</t>
  </si>
  <si>
    <t>GT0144</t>
  </si>
  <si>
    <t>FR-400-GT-0174-2022</t>
  </si>
  <si>
    <t>Suministro de elementos electrónicos para el mantenimiento preventivo y correctivo de los equipos activos de las centrales telefónicas de EMCALI EICE ESP.</t>
  </si>
  <si>
    <t>0353</t>
  </si>
  <si>
    <t>GAA0126</t>
  </si>
  <si>
    <t>FR-300-GAA-0160-2022</t>
  </si>
  <si>
    <t>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t>
  </si>
  <si>
    <t>0354</t>
  </si>
  <si>
    <t>GAA0243</t>
  </si>
  <si>
    <t>FR-300-GAA-0163-2022</t>
  </si>
  <si>
    <t>Suministro, instalación y puesta en marcha de cuatro (4) espectrofotómetro en las PATP´s de EMCALI</t>
  </si>
  <si>
    <t>0355</t>
  </si>
  <si>
    <t>GAA0687</t>
  </si>
  <si>
    <t>FR-300-GAA-0164-2022</t>
  </si>
  <si>
    <t>Realizar el mantenimiento a los equipos Isotérmicos y de apoyo del Laboratorio Aguas Residuales</t>
  </si>
  <si>
    <t>0356</t>
  </si>
  <si>
    <t>GAA0685</t>
  </si>
  <si>
    <t>FR-300-GAA-0165-2022</t>
  </si>
  <si>
    <t>Realizar el mantenimiento a los equipos marca ELGA del Laboratorio de Aguas Residuales</t>
  </si>
  <si>
    <t>0357</t>
  </si>
  <si>
    <t>GAA0684</t>
  </si>
  <si>
    <t>FR-300-GAA-0166-2022</t>
  </si>
  <si>
    <t>Realizar el mantenimiento a los equipos marca Shimadzu del Laboratorio de Aguas Residuales</t>
  </si>
  <si>
    <t>0358</t>
  </si>
  <si>
    <t>GAA0683</t>
  </si>
  <si>
    <t>FR-300-GAA-0167-2022</t>
  </si>
  <si>
    <t>Realizar el mantenimiento a los equipos marca Analitikjena del Laboratorio Aguas Residuales</t>
  </si>
  <si>
    <t>0359</t>
  </si>
  <si>
    <t>GAA0716</t>
  </si>
  <si>
    <t>FR-300-GAA-0169-2022</t>
  </si>
  <si>
    <t>Obras de Emergencia Bocatoma Río Cali</t>
  </si>
  <si>
    <t>0360</t>
  </si>
  <si>
    <t>GAA0717</t>
  </si>
  <si>
    <t>FR-300-GAA-0171-2022</t>
  </si>
  <si>
    <t>Obras temporales de emergencia para mitigar el colapso del canal Santa Monica en el sector Sur colindante con el edificio Leforet de la ciudad de Cali.</t>
  </si>
  <si>
    <t>0361</t>
  </si>
  <si>
    <t>GAA0720</t>
  </si>
  <si>
    <t>FR-300-GAA-0174-2022</t>
  </si>
  <si>
    <t>Suministrar Cloruro Férrico en base líquida al 42% para ser utilizado en el tratamiento de las Aguas Residuales en la PTAR C.</t>
  </si>
  <si>
    <t>0362</t>
  </si>
  <si>
    <t>GT0230</t>
  </si>
  <si>
    <t>FR-400-GT-0176-2022</t>
  </si>
  <si>
    <t>Mantenimiento Preventivo y Correctivo de Equipo Desmineralizador de Agua, esto conforme al sostenimiento de los servicios, garantizando la continuidad del servicio y aportando positivamente a los TMR comprometidos con los clientes</t>
  </si>
  <si>
    <t>0363</t>
  </si>
  <si>
    <t>FR-800-GHA-0143-2022</t>
  </si>
  <si>
    <t>Contar con la atención integral de aires acondicionados y sistemas de refrigeración: realizar el mantenimiento preventivo, correctivo y actividades complementarias en los equipos de aires acondiciondos y sistemas de refrigeración de EMCALI EICE ESP.</t>
  </si>
  <si>
    <t>0364</t>
  </si>
  <si>
    <t>0365</t>
  </si>
  <si>
    <t>GTI0186</t>
  </si>
  <si>
    <t>0366</t>
  </si>
  <si>
    <t>GAA0666</t>
  </si>
  <si>
    <t>FR-300-GAA-0175-2022</t>
  </si>
  <si>
    <t>Suministro repuestos reles de protección GE Multilin modelo 869</t>
  </si>
  <si>
    <t>0367</t>
  </si>
  <si>
    <t>GAA0709</t>
  </si>
  <si>
    <t>FR-300-GAA-0168-2022</t>
  </si>
  <si>
    <t>Suministro e Instalación Celda Sistema de Arranque Bombeo Bellavista 2 - Planta Río Cali</t>
  </si>
  <si>
    <t>0368</t>
  </si>
  <si>
    <t>GAA0414</t>
  </si>
  <si>
    <t>FR-300-GAA-0170-2022</t>
  </si>
  <si>
    <t>Realizar actividades para la gestión del Parque de medidores y el mejoramiento de la medición de consumos</t>
  </si>
  <si>
    <t>0369</t>
  </si>
  <si>
    <t>GAA0680</t>
  </si>
  <si>
    <t>FR-300-GAA-0172-2022</t>
  </si>
  <si>
    <t>Mantenimiento de equipamiento marca Metrohm y Skatpure del Laboratorio de Agua Potable</t>
  </si>
  <si>
    <t>0370</t>
  </si>
  <si>
    <t>GAA0059
GAA0686</t>
  </si>
  <si>
    <t>FR-300-GAA-0173-2022</t>
  </si>
  <si>
    <t>Mnatenimiento de equipamiento de los Laboratorios de Ensayos de la UENAA</t>
  </si>
  <si>
    <t>202202233
202202242</t>
  </si>
  <si>
    <t>0372</t>
  </si>
  <si>
    <t>GE0292</t>
  </si>
  <si>
    <t>FR-500-GE-0201-2022</t>
  </si>
  <si>
    <t>Suministro de equipo de prueba de medidores de energía eléctrica (EPM), Fuentes trifásicas electrónicas para EPM con su respectivo patrón de medida de energía y patrón comparador trifásico para calibración de EPM.</t>
  </si>
  <si>
    <t>0373</t>
  </si>
  <si>
    <t>0374</t>
  </si>
  <si>
    <t>0375</t>
  </si>
  <si>
    <t>GTI0182</t>
  </si>
  <si>
    <t>Prestación de servicio especializados de implementación de la solución, puesta en producción y soporte, para sistematizar la gestión y control de los procesos disciplinarios con los parámetros técnicos y legales vigentes.</t>
  </si>
  <si>
    <t>0376</t>
  </si>
  <si>
    <t>0377</t>
  </si>
  <si>
    <t>0378</t>
  </si>
  <si>
    <t>GT0177</t>
  </si>
  <si>
    <t>FR-400-GT-0189-2022</t>
  </si>
  <si>
    <t>Mantenimiento Correctivo de Transferencias Automáticas</t>
  </si>
  <si>
    <t>0379</t>
  </si>
  <si>
    <t>GT0171</t>
  </si>
  <si>
    <t>FR-400-GT-0180-2022</t>
  </si>
  <si>
    <t>Mantenimiento Correctivo de plantas de emergencia de las Centrales Telefónicas de EMCALI EICE ESP.</t>
  </si>
  <si>
    <t>0380</t>
  </si>
  <si>
    <t>GT0203</t>
  </si>
  <si>
    <t>FR-400-GT-0170-2022</t>
  </si>
  <si>
    <t>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t>
  </si>
  <si>
    <t>202204407
202204408</t>
  </si>
  <si>
    <t>0381</t>
  </si>
  <si>
    <t>FR-200-GTI-0107-2022</t>
  </si>
  <si>
    <t>Contratar el servicio de soporte reactivación y mantenimiento del Software SAP</t>
  </si>
  <si>
    <t>202202915
202203525</t>
  </si>
  <si>
    <t>0382</t>
  </si>
  <si>
    <t>0383</t>
  </si>
  <si>
    <t>GE0202</t>
  </si>
  <si>
    <t>FR-500-GE-0203-2022</t>
  </si>
  <si>
    <t>Suministro de Fuente para Remota de Subestación CDS</t>
  </si>
  <si>
    <t>0384</t>
  </si>
  <si>
    <t>GE0205</t>
  </si>
  <si>
    <t>FR-500-GE-0212-2022</t>
  </si>
  <si>
    <t>Suministro de GPS de Subestación</t>
  </si>
  <si>
    <t>0385</t>
  </si>
  <si>
    <t>GE0329</t>
  </si>
  <si>
    <t>FR-500-GE-0213-2022</t>
  </si>
  <si>
    <t>Suministro de Modem Router 4G</t>
  </si>
  <si>
    <t>0386</t>
  </si>
  <si>
    <t>GE0328</t>
  </si>
  <si>
    <t>FR-500-GE-0211-2022</t>
  </si>
  <si>
    <t>Suministro de Inversor para RACK de 125 V DC 120 V AC</t>
  </si>
  <si>
    <t>0387</t>
  </si>
  <si>
    <t>GAA0086
GAA0087</t>
  </si>
  <si>
    <t>FR-300-GAA-0177-2022</t>
  </si>
  <si>
    <t>Calibración de equipamiento de los Laboratorios de Ensayos y Calibraciones de la UENAA</t>
  </si>
  <si>
    <t>202202262
202202458</t>
  </si>
  <si>
    <t>0388</t>
  </si>
  <si>
    <t>GAA0679</t>
  </si>
  <si>
    <t>FR-300-GAA-0178-2022</t>
  </si>
  <si>
    <t>Mantenimiento del sistema HVAC del Laboratorio de Agua Potable</t>
  </si>
  <si>
    <t>0389</t>
  </si>
  <si>
    <t>GAA0739</t>
  </si>
  <si>
    <t>FR-300-GAA-0180-2022</t>
  </si>
  <si>
    <t>Suministro de Alcalinizante para las Plantas de Tratamiento de Agua Potable de la Unidad de Producción de Agua Potable: Cal Viva</t>
  </si>
  <si>
    <t>0390</t>
  </si>
  <si>
    <t>FUNCIONAMIENTO
INVERSION</t>
  </si>
  <si>
    <t>0391</t>
  </si>
  <si>
    <t>GAA0054</t>
  </si>
  <si>
    <t>FR-300-GAA-0176-2022</t>
  </si>
  <si>
    <t>Actualizar el modelo de nivel económico de pérdidas y planificar la fase III de la Gestión de Recuperación de Agua en Macrosectores</t>
  </si>
  <si>
    <t>0392</t>
  </si>
  <si>
    <t>0393</t>
  </si>
  <si>
    <t>GAA0690
GAA0691</t>
  </si>
  <si>
    <t>FR-300-GAA-0181-2022</t>
  </si>
  <si>
    <t>Suministro de reactivos y materiales para realizar ensayos microbiológicos en los Laboratorios de Ensayos de la UENAA</t>
  </si>
  <si>
    <t>202202247
202202249</t>
  </si>
  <si>
    <t>0394</t>
  </si>
  <si>
    <t>GAA0090</t>
  </si>
  <si>
    <t>FR-300-GAA-0182-2022</t>
  </si>
  <si>
    <t>Realizar ensayos de sustancias de interés sanitario a muestras de agua cruda, tratada provenientes de las Plantas de Potabilización y de la red de distribución de EMCALI EICE ESP</t>
  </si>
  <si>
    <t>0395</t>
  </si>
  <si>
    <t>GAA0688
GAA0681</t>
  </si>
  <si>
    <t>FR-300-GAA-0183-2022</t>
  </si>
  <si>
    <t>Realizar mantenimiento a las cabinas y sistemas de extracción de los laboratorios de ensayos de la UENAA</t>
  </si>
  <si>
    <t>202202244
202202236</t>
  </si>
  <si>
    <t>0396</t>
  </si>
  <si>
    <t>GAA0689</t>
  </si>
  <si>
    <t>FR-300-GAA-0184-2022</t>
  </si>
  <si>
    <t>Realizar mantenimiento al sistema de control de acceso del laboratorio de aguas residuales.</t>
  </si>
  <si>
    <t>0397</t>
  </si>
  <si>
    <t>GAA0060</t>
  </si>
  <si>
    <t>FR-300-GAA-0185-2022</t>
  </si>
  <si>
    <t>Realizar el mantenimiento a equipos volumétricos y de apoyo del laboratorio aguas residuales</t>
  </si>
  <si>
    <t>0398</t>
  </si>
  <si>
    <t>GHA0245</t>
  </si>
  <si>
    <t>FR-800-GHA-0161-2022</t>
  </si>
  <si>
    <t>Adquirir, instalar, configurar, integrar y poner en marcha el sistema de Circuito Cerrado de Televisión CCTV en la Subestación Melendez de EMCALI EICE ESP</t>
  </si>
  <si>
    <t>31 DE MARZO ADELANTANDO OTRO SI PARA AJUSTE DE PRECIOS
20 DE ABRIL ESPERANDO OTRO SI 
9 DE MAYO EN REVISION DE LA FPA E INVITACION
17 de mayo en evaluacion de ofertas
23 DE MAYO EN SOLICITUD DE REGISTRO 
6 DE JUNIO ENTREGADO AL AREA</t>
  </si>
  <si>
    <t>300-CMA-1974-2020/300-AO-1925-2022</t>
  </si>
  <si>
    <t>EQUIPOS Y HERRAMIENTAS INDUSTRIALES SAS</t>
  </si>
  <si>
    <t>2022-046</t>
  </si>
  <si>
    <t>6 MESES</t>
  </si>
  <si>
    <t>31 de marzo se reciben ofertas 
5 de abril en solicitud de subsanables
20 DE ABRIL EN EVALUACION SOBRE 1
7 DE MAYO REASIGNADO A HAROLDO MONDRAGON
9 DE MAYO SE PUBLICA INFORME DE EVALUACION
17 de mayo en acta de adjudicacion y firma de la aceptacion
24 DE MAYO EN SOLICITUD DE POLIZAS
9 DE JUNIO ESPERANDO POLIZA POR PARTE DEL PROVEEDOR</t>
  </si>
  <si>
    <t>300-AO-1927-2022</t>
  </si>
  <si>
    <t>SG INGENIERIA EN DUCTOS SA</t>
  </si>
  <si>
    <t>31 DE MARZO ELABORACION DE FPA Y CC
18 DE ABRIL PUBLICADO
5 DE MAYO EN RECEPCION DE SUBSANABLES
17 de mayo informe de evaluacion
23 DE MAYO EN RESPUESTA A OBSERVACIONES AL INFORME DE EVALUACION
2 DE JUNIO ENTREGADO AL AREA</t>
  </si>
  <si>
    <t>200-AO-1934-2022</t>
  </si>
  <si>
    <t>PC COM SA</t>
  </si>
  <si>
    <t xml:space="preserve">NACIONAL </t>
  </si>
  <si>
    <t>23 de marzo en revision por silvia de la fpa e invitacion
31 DE MARZO PUBLICADO
5 de abril en respuesta a observaciones hasta el 6 de abril
19 de abril en recepcion de ofertas
9 DE MAYO EN ELABORACION DE INFORME DE EVALUACION
17 de mayo en acta de adjudicacion y firma de la aceptacion
24 DE MAYO ALA ESPERA DEL RUT DEL CONSORCIO
9 DE JUNIO SOLICITUD DE POLIZAS</t>
  </si>
  <si>
    <t>300-AO-1953-2022</t>
  </si>
  <si>
    <t>CONSORCIO ETEL ABC</t>
  </si>
  <si>
    <t>31 DE MARZO PUBLICADO
5 de abril en respuesta a observaciones hasta el 6 de abril
19 de abril en recepcion de ofertas
9 DE MAYO EN ELABORACION DE INFORME DE EVALUACION
17 de mayo en acta de adjudicacion y firma de la aceptacion
24 DE MAYO ALA ESPERA DEL RUT DEL CONSORCIO
9 DE JUNIO SOLICITUD DE POLIZAS
30 DE JUNIO SOLICITUD DE POLIZAS AL PROVEEDOR</t>
  </si>
  <si>
    <t>300-AO-1954-2022</t>
  </si>
  <si>
    <t xml:space="preserve">23 de marzo se reciben ofertas el 30 de marzo
31 de marzo en recepcion de ofertas que se reciben el 6 de abril
7 de abril en evaluacion sobre 1
9 DE MAYO EN SOBRE 2
17 de mayo en adjudicacion del grupo 1 y cierre  grupo 2
24 DE MAYO EN SOLICITUD DE POLIZAS
adjudicado grupo 2
</t>
  </si>
  <si>
    <t>300-AO-1928-2022</t>
  </si>
  <si>
    <t>300-CMA-1974-2021/300-AO-1935-2022</t>
  </si>
  <si>
    <t>CMA-1246-2020</t>
  </si>
  <si>
    <t>entregado al area</t>
  </si>
  <si>
    <t>5 de abril en solicitud de conceptos
20 de abril en revision de la fpa y cc
11 DE MAYO CERRADO
Se tramito como el contrato marco</t>
  </si>
  <si>
    <t>CMA-1246-2020/300-AO-1957-2022</t>
  </si>
  <si>
    <t>31 DE MARZO ADELANTANDO OTRO SI PARA AJUSTE DE PRECIOS
17 de mayo en invitacion a ofertar
23 DE MAYO EN ELABORACION DE LA ACEPTAC ION DE LA OFERTA
9 de junio en aprobacion de garantias
13 DE JUNIO ENTREGADO AL AREA</t>
  </si>
  <si>
    <t>300-CMA-1974-2020/400-AO-1932-2022
300-CMA-1974-2020/400-AO-1933-2022</t>
  </si>
  <si>
    <t>300-CMA-1794-2021</t>
  </si>
  <si>
    <t>31 DE MARZO ADELANTANDO OTRO SI PARA AJUSTE DE PRECIOS
20 DE ABRIL ESPERANDO OTRO SI 
17 de mayo en evaluacion de ofertas
23 DE MAYO EN ELABORACION DE LA ACEPTAC ION DE LA OFERTA
9 de junio en aprobacion de garantias</t>
  </si>
  <si>
    <t xml:space="preserve">31 DE MARZO ADELANTANDO OTRO SI PARA AJUSTE DE PRECIOS
20 DE ABRIL ESPERANDO OTRO SI 
17 de mayo en evaluacion de ofertas
23 DE MAYO EN EVALUACION
9 de junio en aprobacion de garantias
</t>
  </si>
  <si>
    <t>300-CMA-1974-2020/300-AO-1926-2022</t>
  </si>
  <si>
    <t>31 DE MARZO ADELANTANDO OTRO SI PARA AJUSTE DE PRECIOS
20 DE ABRIL ESPERANDO OTRO SI 
17 de mayo en evaluacion de ofertas
23 DE MAYO EN ACEPTACION DE OFERTA
9 de junio en aprobacion de garantia</t>
  </si>
  <si>
    <t>300-CMA-1974-2020/300-AO-1938-2022
300-CMA-1974-2020/300-AO-1936-2022</t>
  </si>
  <si>
    <t>202205622
202205637</t>
  </si>
  <si>
    <t>90 Dias</t>
  </si>
  <si>
    <t>300-CMA-1974-2020/300-AO-1942-2022</t>
  </si>
  <si>
    <t>5 DE MAYO RESPUESTA A OBSERVACIONES
24 DE MAYO EN ACEPTACION DE LA OFERTA
9 de junio esperando polizas de los proveedores
30 de junio en espera de la polizas</t>
  </si>
  <si>
    <t>06/06/202</t>
  </si>
  <si>
    <t>18 DE NOVIEMBRE 2022</t>
  </si>
  <si>
    <t>CMA-1974-2020/300-AO-1945-2022</t>
  </si>
  <si>
    <t>300-CM-1794-2020/300-AO-1943-2022</t>
  </si>
  <si>
    <t>17 de mayo en invitacion de ofertas
23 DE MAYO EN ACEPTACION DE OFERTA
9 de junio entregado al area</t>
  </si>
  <si>
    <t>300-CMA-1974-2020/500-AO-1929-2022
300-CMA-1974-2020 500-AO-1930-2022</t>
  </si>
  <si>
    <t>202205614
20225615</t>
  </si>
  <si>
    <t>17 de mayo en invitacion de ofertas
23 DE MAYOEN RECEPCION DE OFERTAS
9 de junio en rp</t>
  </si>
  <si>
    <t>300-CMA-1974-2020-300-AO-1964-2022
300-CMA-1974-2020-300-AO-1965-2022</t>
  </si>
  <si>
    <t>ALMACEN  RODAFER  RF SAS
EQUIPOS Y HERRAMIENTAS INDUSTRAILES SAS</t>
  </si>
  <si>
    <t>202205824
202205825</t>
  </si>
  <si>
    <t>CMA-1743-2021</t>
  </si>
  <si>
    <t>CMA-1743-2021/</t>
  </si>
  <si>
    <t>jun</t>
  </si>
  <si>
    <t>Se les solicito RUT del CONSORCIO el 18 de mayo y el contratista lo entrego el 1 de junio.</t>
  </si>
  <si>
    <t>el 7 de junio se les solicito las polizas al contratista y solo hasta el 23 de junio las entregaron para aprobación.</t>
  </si>
  <si>
    <t xml:space="preserve">- Se solicitaron polizas al contratista el 23 de Mayo y las entrego el 8 de Junio (15)
- Se aperturo urna el 31 de marzo y se publico informe final el 10 de mayo (En evaluación)
</t>
  </si>
  <si>
    <t>- Se les solicito RUT del CONSORCIO el 18 de mayo y el contratista lo entrego el 1 de junio (12)
- El 7 de junio se les solicito las polizas al contratista y solo hasta el 23 de junio las entregaron para aprobación (15)</t>
  </si>
  <si>
    <t>Dependencia</t>
  </si>
  <si>
    <t>UNIDAD SEGURIDAD FISICA Y ELECTRONICA</t>
  </si>
  <si>
    <t>UNIDAD DE RECOLECCION</t>
  </si>
  <si>
    <t>UNIDAD DE MANTENIMIENTO</t>
  </si>
  <si>
    <t>UNIDAD DE DISTRIBUCIÓN</t>
  </si>
  <si>
    <t>UNIDAD DE INGENIERIA</t>
  </si>
  <si>
    <t>UNIDAD DE BOMBEO</t>
  </si>
  <si>
    <t>UNIDAD DE SERVICIOS COMPLEMENTARIOS</t>
  </si>
  <si>
    <t>UNIDAD DE TRATAMIENTO</t>
  </si>
  <si>
    <t>UNIDAD GESTIÓN ADMINISTRATIVA</t>
  </si>
  <si>
    <t>20 de abril en elaboracion de la fpa y cc
5 DE MAYO EN REVISION Y AJUSTES DE LA FPA 
17 de mayo para publicar cc
27 DE MAYO SE RECIBEN OFERTAS
8 de junio en evaluacion sobre 1
17 DE JUNIO EN EVALUACION SOBRE 1
8 DE JULIO CERRADO</t>
  </si>
  <si>
    <t>5 de abril en solicitud de conceptos
19 de abril en inteligencia de mercado
4 de mayo en inteligencia
17 de mayo en inteligencia de mercado
23 DE MAYO PUBLICADO
9 de junio en evaluacion de ofertas
17 de junio en evaluacion sobre 1
30 de junio en evaluacion sobre 1
15 de julio cerrado porque los oferentes no cumplieron con la idoneidad juridica.. Se cierra y se realizara por IP.</t>
  </si>
  <si>
    <t>B</t>
  </si>
  <si>
    <t>900-IPU-0249-2022</t>
  </si>
  <si>
    <t>UENAA U. DISTRIBUCIÓN</t>
  </si>
  <si>
    <t>9 de mayo en elaboracion de la fpa y cc
17 de mayo en inteligencia de mercado
24 DE MAYO EN INTELIGENCIA DE MERCADO
9 DE JUNIO PUBLICADO EN RECEPCION DE OBSERVACIONES
30 DE JUNIO EN SOLICITUD DE POLIZAS Y RP
18 DE JULIO REALIZANDO ACTA DE CIERRE PORQUE NO QUEDO NINGUN IDONEO Y SE SACARA POR LITERAL B</t>
  </si>
  <si>
    <t>900-IPU-0257-2022</t>
  </si>
  <si>
    <t>PRODUCCIÓN DE AGUA POTABLE</t>
  </si>
  <si>
    <t>UNIDAD DE PROSPECTIVA Y DESARROLLO DE NEGOCIOS</t>
  </si>
  <si>
    <t>5 DE MAYO EN ELABORACION DE LA FPA Y CC
10 DE MAYO REASIGNADO A JULIETA ORTIZ
17 de mayo en elaboracion de fpa y cc
13 de mayo Julieta recibio la informacion
24 DE MAYO ESPRANDO INTELIGENCIA DE MERCADO
25 de mayo se recibio inteligencia de mercado
27 de mayo se entrego para revision de la cc por silvia
2 de Junio en espera de Publicacion
8 de junio en recepcion de obervaciones
15 de junio se adenda para modificacion de cronograma
30 de junio acta de saneamiento, adenda 2 . Se retrotrajo porq no alcanzaron a hacer la evaluación de idoneidad por parte de energía. Se reciben de nuevo ofertas el martes 5 julio
2 DE AGOSTO ESPRANDO ACTA DE CIERRE PARA SACARLA POR LITERAL B</t>
  </si>
  <si>
    <t>5 de mayo en inteligencia de mercado
23 DE MAYO PUBLICADO
8 DE JUNIO EN RESPUESTA A OBSERVACIONES YA QUE SE ADENDO AMPLIANDO CRONOGRAMA PARA INCLUIR AUDIENCIA DE PRESICION DE CONDICIONES DE CONTRATACION
23 DE JUNIO SE RECIBEN OFERTAS
30 de junio en recepcion de ofertas
18 DE JULIO SE CIERRA EL GRUPO 1 3 Y 5</t>
  </si>
  <si>
    <t>UNIDAD GESTION ADMINISTRATIVA</t>
  </si>
  <si>
    <t>17 de mayo respuesta a observaciones
24 DE MAYO EN EVALUACION SOBRE 1
8 junio en evaluacion sobre 1 se va a cerrar, SE REALIZARA POR SECRETARIA GENERAL PORQUE ES UN SAM</t>
  </si>
  <si>
    <t>17 DE MAYO EN REVISION DE LA CC 
26 DE MAYO SE RECIBEN OFERTAS
2 de junio cerrado  SE DEVOLVIO PORQUE SE SACARA POR SECREATRIA GENERAL</t>
  </si>
  <si>
    <t xml:space="preserve">5 MAYO EN SOLICITUD DE CONCEPTOS SE REASIGNO A JUAN PABLO
17 de mayo en elaboracion de fpa y cc
9 de junio publicado
17 DE JUNIO EN RESPUESTA  OBSERVACIONES
30 DE JUNIO SOLICITU DE SUBSANABLES
18 DE JULIO EN EVALUACUION SOBRE 1
1 de agosto se esta realizando acta de cierre por evaluacion del proveedor negativo
</t>
  </si>
  <si>
    <t>900-IPU-0294-2022</t>
  </si>
  <si>
    <t>17 de mayo en recepcion de observaciones
9 de junio evaluacion
22 DE JUNIO CERRADO PORQUE NO CUMPLIERON LOS PROPONENTES</t>
  </si>
  <si>
    <t>11 de mayo en inteligencia de mercado
17 de mayo esperando la firma del gerente gae
25 DE MAYO SE RECIBEN OFERTAS
9 de junio en evaluacion de subsanables
30 de junio se realizo comité y se va a cerrar
12 DE JULIO CERRADO PORQUE LA PROPUESTA FUE INADMISIBLE</t>
  </si>
  <si>
    <t>17 de mayo en elaboracion de fpa y cc
9 junio en revision de la cc gae
17 DE JUNIO EN REVISION POR PARTE DEL GERENTE
30 DE JUNIO EN REVISION JURIDICA
18 DE JULIO ENR ECEPCION DE OFERTAS
1 de agosto se esta representaron la polizas</t>
  </si>
  <si>
    <t>900-IPU-0306-2022</t>
  </si>
  <si>
    <t>13 de junio en recepcion de ofertas
15 de julio en elaboracion de acta de cierre, las propuestas fueron inadmisibles</t>
  </si>
  <si>
    <t>DIRECCIÓN DE CONTROL INTERNO</t>
  </si>
  <si>
    <t>9 DE JUNIO EN SUBSANABLES
30 DE JUNIO CERRADO
18 DE JULIO SE CERRO PORQUE NINGUN OFERENTE CUMPLIO Y SE SACARA POR IP</t>
  </si>
  <si>
    <t>15 de junio en solicitud de conceptos
28 de mayo publicado 
CERRADO POR PROVEEDOR INDAMISIBLE PENDIENTE ACTA DE CIERRE Y SE VA POR IP</t>
  </si>
  <si>
    <t>30 de junio en evaluacion
14 de julio en revision por la jefe sandra
29 DE JULIO CERRADO Y SE ABRIO NUEVAMENTE CON LA IP 474</t>
  </si>
  <si>
    <t>17 de junio en solicitud de conceptos
30 de junio esperando concepto SST del área usuaria
29 de julio cerrado porque el oferente no cumple</t>
  </si>
  <si>
    <t>900-IP-0346-2022</t>
  </si>
  <si>
    <t>17 de junio en solicitu de conceptos
14 de julio e evaluacion, en revision desde el 8 de julio de la evaluacion y la aceptacion de la oferta.
18 de julio esperando evaluacion
29 DE JULIO ESPERANDO EL CERTIFICADO AL CONTRATISTA
2 DE AGOSTO EN EVALUACION 4 DE AGOSTO EL PROVEEDOR NO CUMPLE, SE VA A CERRAR</t>
  </si>
  <si>
    <t>900-IP-0351-2022</t>
  </si>
  <si>
    <t>cerrado</t>
  </si>
  <si>
    <t>17 de junio en solicitud de conceptos
14 de julio pendiente de las firmas de las jefes
19 de julio se amplio la recepcion de las ofertas
2 de agsoto se cerro porque el proveedor se retiro de la oferta</t>
  </si>
  <si>
    <t>devuelto</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</si>
  <si>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
18 de julio epsrnado reunion con el area
2 de agosto esprando reunion con el area para definir la situacion</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</si>
  <si>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
18 de julio esperando reunion con el area
2 de agosto esprando reunion con el area para definir la situacion</t>
  </si>
  <si>
    <t>19 de abril en elaboracion de fpa
29 DE ABRIL  elaboracion de fpa
3 de mayo reasignado a francia ramirez
18 de mayo se realizara un workshop con los proveedores y el area tecnica. En revision de requisitos tecnicos por parte del area
23 DE MAYO EN ELABORACION DE LA ESTRATEGIA PARA AJUSTAR PRECIOS CADA TRES MESES
2 de agosto esprando reunion con el area para definir la situacion</t>
  </si>
  <si>
    <t>900-IPU-0299-2022</t>
  </si>
  <si>
    <t xml:space="preserve">23 DE MAYO EN INTELIGENCIA DE MERCADO
8 DE JUNIO CERRADO PARA SACAR POR IP
ESTE PROCESO SE DEVOLVIO PORQUE LO VAN A VOLVER A RADICAR CON ESPECIFICACIONES DISTINTAS </t>
  </si>
  <si>
    <t>18 de mayo se realizara un workshop con los proveedores y el area tecnica. En revision de requisitos tecnicos por parte del area
23 DE MAYO EN ELABORACION DE LA ESTRATEGIA PARA AJUSTAR PRECIOS CADA TRES MESES
10 de junio reunion con andesco para definir la situacion
18 de julio esperando info del area
2 de agosto esprando reunion con el area para definir la situacion</t>
  </si>
  <si>
    <t>900-IP-0339-2022</t>
  </si>
  <si>
    <t>SE DEVOLVIO AL AREA PORQUE NO ALCANZABA EL PRESUPUESTO POR EL ALZA DEL DÓLAR</t>
  </si>
  <si>
    <t>900-IP-0390-2022</t>
  </si>
  <si>
    <t>18 DE JULIO SE DEVOLVIO AL AREA  POR EL BAJO PRSUPUESTO Y EL ALZA DEL DÓLAR</t>
  </si>
  <si>
    <t>0434</t>
  </si>
  <si>
    <t>GT0164</t>
  </si>
  <si>
    <t>FR-400-GT-0178-2022</t>
  </si>
  <si>
    <t>Soporte técnico requerido para la operación, administración y manejo de la plataforma, incluyendo transferencia de conocimiento hacia el personal encargado de Zabbix en EMCALI EICE ESP</t>
  </si>
  <si>
    <t>900-IP-0434-2022</t>
  </si>
  <si>
    <t>2 DE AGOSTO EN COTIZACIONES</t>
  </si>
  <si>
    <t>31 DE MARZO EN ELABORACION DE LA FPA
5 de Abril en elaboracion de fpa
20 DE ABRIL EN ELABORACION DE FPA Y CC
5 DE MAYO EN ELBORACION DE LA FPA ESPERANDO INFORMACION DEL AREA
17 de mayo en recepcion de ofertas
9 DE JUNIO EN EVALUACION
26 DE MAYO SE RECIBEN OFERTAS
30 de junio en evaluacion sobre 1
18 de julio publicacion del informe de evaluacion
1 de agosto en adjudicacion. 5 DE AGOSTO EN ESPERA DE LA CITA DE LA DIAN Y EL RUT</t>
  </si>
  <si>
    <t>31 DE MARZO EN SOLICITUD DE CONCEPTOS
1 de abril elaboracion de la fpa
5 DE ABRIL SE RE ASIGNA DE PABLO A JUAN PABLO
20 DE ABRIL EN INTELIGENCIA DE MERCADO
5 DE MAYO  EN INTELIGENCIA DE MERCADO
17 de mayo en elaboracion de fpa y cc
24 DE MAYO SE ENTREGA PARA REVISION LA FPA
9 DE JUNIO EN REVISION DE FPA Y CC
17 DE JUNIO EN RESPUES A OBSERVACIONES
30 DE JUNIO EN RECEPCION DE OFERTAS
ee saneo y se retrotrajo por error en el formulario de precios y cantidades.
18 de julio en evaluacion sobre 1
1 de agosto en comite sobre 2. 5 DE AGOSTO EN INFORME DE PEVALUACION</t>
  </si>
  <si>
    <t>EL PROVEEDOR PIDIO AMPLIAR EL PLAZO DE ENTREGA , LLAMO A JAIME CHAVEZ PARA PEDIR AUTORIZACION DE OTRO SI</t>
  </si>
  <si>
    <t>UNIDAD SEGURIDAD Y SALUD EN EL TRABAJO</t>
  </si>
  <si>
    <t>31 DE MARZO EN REVISION POR LA COORDINADORA SILVIA
20 de abril en respuesta a observaciones
SE RETROTRAJO Y SE RECIBEN NUEVAMENTE OFERTAS
17 de mayo en evaluacion sobre 1
24 DE MAYO EN EVALUACION SOBRE 2
9 DE JUNIO ESPERANDO  COMITÉ
30 de junio esperando las polizas por parte del contratista
18 de julio aprobacion de polizas
1 de agosto en aprobacion de polizas. 5 DE AGOSTO PENDIENTE DE QUE ZTE ARREGLE LAS POLIZAS</t>
  </si>
  <si>
    <t>SUB GERENCIA COMERCIAL</t>
  </si>
  <si>
    <t>5 de abril en solicitud de conceptos
20 DE ABRIL EN ELABORACION DE FPA Y CC
5 DE MAYO REASIGNADO A JUAN PABLO LO TENIA VIAGNERY CONTINUA EN ELABORACIO DE FPA
17 de mayo en elaboracion de fpa y cc
9 DE JUNIO EN EVALUACION
17 DE JUNIO EN EVALUACION
30 DE JUNIO SE SANEO Y SE RCIBEN NUEVAMENTE OFERTAS
18 de julio para comite de evaluacion sobre 1
1 de agosto en evaluacion sobre 2. 5 DE AGOSTO EN ADJUDICACION</t>
  </si>
  <si>
    <t>UNIDAD CONTROL INTEGRAL DE PERDIDAS DE AGUA</t>
  </si>
  <si>
    <t>19 de abril en elaboracion de fpa
29 DE ABRIL  elaboracion de fpa
3 de mayo reasignado a francia ramirez
9 de mayo 
18 de mayo se realizara un workshop con los proveedores y el area tecnica. En revision de requisitos tecnicos por parte del area
23 DE MAYO EN ELABORACION DE LA ESTRATEGIA PARA AJUSTAR PRECIOS CADA TRES MESES
10 de junio reunion con Adesco para definir situacion
18 de julio epsrnado reunion con el area</t>
  </si>
  <si>
    <t>20 DE ABRIL EN INTELIGENCIA DE MERCADO
5 DE MAYO ESPERANDO LA INTELIGENCIA DE MERCADO
17 de mayo en inteligencia de mercado
24 DE MAYO EN INTELIGENCIA DE MERCADO
13 de junio se reciben ofertas
17 de junio en evaluacion sobre 1
30 de junio en evaluacion
2 de agosto en adjudicacion. 5 DE AGOSTO EN ADJUDICACION.}</t>
  </si>
  <si>
    <t xml:space="preserve">5 de abril en solicitud de conceptos
20 DE ABRIL EN INTELIGENCIA DE MERCADO
 EN INTELIGENCIA DE MERCADO
17 de mayo en elaboracion de fpa y cc
24 DE MAYO SE ENTREGA PARA REVISION LA FPA
9 DE JUNIO EN REVISION DE FPA Y CC
17 DE JUNIO EN RESPUES A OBSERVACIONES
30 DE JUNUO SE RECIBE OFERTAS PARA EL 7 DE JULIO
18 de julio en evaluacion sobre 1
</t>
  </si>
  <si>
    <t>5 de abril en solicitud de conceptos
20 DE ABRIL EN INTELIGENCIA DE MERCADO
 EN INTELIGENCIA DE MERCADO
17 de mayo en elaboracion de fpa y cc
24 DE MAYO SE ENTREGA PARA REVISION LA FPA
9 DE JUNIO EN REVISION DE FPA Y CC
17 DE JUNIO EN RESPUES A OBSERVACIONES
30 DE JUNIO EN RECEPCION DE OFERTAS
18 de julio en evaluacion sobre 1
1 de agosto en comite sobre 2</t>
  </si>
  <si>
    <t xml:space="preserve">5 de abril en solicitud de conceptos
20 DE ABRIL EN INTELIGENCIA DE MERCADO
 EN INTELIGENCIA DE MERCADO
17 de mayo en elaboracion de fpa y cc
24 DE MAYO SE ENTREGA PARA REVISION LA FPA
9 DE JUNIO EN REVISION DE FPA Y CC
17 DE JUNIO EN RESPUES A OBSERVACIONES
30 DE JUNIO EN RECEPCION DE OFERTAS
18 de julio en evaluacion sobre 1
1 de agosto en comite sobre 2
</t>
  </si>
  <si>
    <t>20 DE ABRIL EN INTELIGENCIA DE MERCADO
 EN INTELIGENCIA DE MERCADO
17 de mayo en elaboracion de fpa y cc
24 DE MAYO SE ENTREGA PARA REVISION LA FPA
9 DE JUNIO EN REVISION DE FPA Y CC
17 DE JUNIO EN RESPUES A OBSERVACIONES
30 DE JUNIO EN RECEPCION DE OFERTAS
18 de julio en evaluacion sobre 1
1 de agosto en comite sobre 2</t>
  </si>
  <si>
    <t>17 de mayo en elaboracion de fpa y cc
24 DEMAYO SE PUBLICA
9 DE JUNIO EN EVALUACION SOBRE 2
30 DE JUNIO EN EVALUACION SOBRE 2
18 DE JULIO EN EVALUACION SOBRE 2
1 de agosto en adjudicacion. 5 DE AGOSTO EN ACTA DE ADJUDICACION.</t>
  </si>
  <si>
    <t>5 de mayo en inteligencia de mercado
23 DE MAYO PUBLICADO
8 DE JUNIO EN RESPUESTA A OBSERVACIONES YA QUE SE ADENDO AMPLIANDO CRONOGRAMA PARA INCLUIR AUDIENCIA DE PRESICION DE CONDICIONES DE CONTRATACION
23 DE JUNIO SE RECIBEN OFERTAS
30 de junio en recepcion de ofertas
ESPERANDO QUE DOS GRUPOS DETERMINE EL INFORME EVALUACION
10 de agosto en adjudicacion  del grupo 1 en kpmatsu.</t>
  </si>
  <si>
    <t>900-IPU-0289-2022</t>
  </si>
  <si>
    <t>900-IPU-0217-2022</t>
  </si>
  <si>
    <t>17 de mayo en elaboracion de fpa y cc
23 DE MAYO EN REVISION DE LA CC
Reasignado a juan pablo Quimbayo
18 DE JULIO EN EVALUACION SOBRE 2
1 de agosto en comite sobre 2</t>
  </si>
  <si>
    <t>UNIDAD DE CONTROL INTEGRAL DE PERDIDAS DE AGUA</t>
  </si>
  <si>
    <t>900-IPU-0309-2022</t>
  </si>
  <si>
    <t>17 de mayo en solicitud de conceptos
9 de junio se reciben ofertas
15 de julio publicacion del informe de evaluacion
1 AGOSTO EN ELABORACION DE ACEPTACION. ESPERANDO EL TRAMITE DE CAMBIO DE IMPUTACION.</t>
  </si>
  <si>
    <t>GESTIONANDO TODAVIA LA IMPUTACION PRESUPEUSTAL</t>
  </si>
  <si>
    <t>UNIDAD DE SOPORTE OPERATIVO</t>
  </si>
  <si>
    <t xml:space="preserve">17 de mayo esperando info del area
10 de junio en recepcion de ofertas
17 DE JUNIO EN RECEPCION DE SIBSANEBLES
30 DE JUNIO EN REVISION JURIDICA
18 DE JULIO SE VA A CERRAR PORQUE NINGUN OFERENTE CUMPLIO. 5 DE AGOSTO SE CERRO Y SE ABRIO POR LITERAL B
</t>
  </si>
  <si>
    <t>UNIDAD DE CONTROL DE ENERGÍA</t>
  </si>
  <si>
    <t>9 de junio esperando info del area
17 DE JUNIO ESPERANDO INFO DEL AREA
18 DE JULIO EN RECEPCION DE OBSERVACIONES
1 DE AGOSTO EN EVALUQACION SOBRE 1. 5 DE AGOSTO PENDIENTE DE CERRAR Y SACAR LITERAL B</t>
  </si>
  <si>
    <t>30 DE JUNIO EN ELABORACION DE FPA E INVITACION
AYUDARA A SACAR EL PROCESO IVAN ALDANA
1 DE AGOST EN ELABORACION DE INVITACION</t>
  </si>
  <si>
    <t>L</t>
  </si>
  <si>
    <t>900-IP-0331-2022</t>
  </si>
  <si>
    <t>17 de junio en solicitud de conceptos
30 de junio en revision de la fpa e invitacion
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t>
  </si>
  <si>
    <t>30 DE JUNIO PUBLICADO
19 DE JULIO SE RECIBEN OFERTAS
1 DE AGOSTO EN EVALUACION SOBRE 1. 5 DE AGOSTO EN PUBLICACION DEL INFORME DE EVALUACION</t>
  </si>
  <si>
    <t>UNIDAD DE PRODUCCIÓN</t>
  </si>
  <si>
    <t>17 de junio en solicitu de conceptos
SE CERRO EL PROCESO Y SE ABRE NUEVAMENTE  CON LA FICHA DE REQUERIMIENTO 300-GAA-0124-2022
2 de agosto en solicitud de polizas 5 de agosto en solicitud de polizas</t>
  </si>
  <si>
    <t>900-IP-0347-2022</t>
  </si>
  <si>
    <t>17 de junio en solicitud de conceptos
14 de julio en evalucion de la oferta, se pidieron subsanables.
18 de julio en espera de la revision de la aceptacion de la oferta
2 DE AGOSTO EN EVALUACION DESPUES DE LA RESPUESTA DEL AREA TECNICA 4 DE AGOSTO EN EVALUACION PARA FIRMAR ACEPTACION</t>
  </si>
  <si>
    <t>900-IP-0350-2022</t>
  </si>
  <si>
    <t>14  de julio pendiente revision de la fpa por la jefe sandra
14 de julio en revision juridica
1 agosto continua en juridica 4 DE AGOSTO EN INVITACION A OFERTAR</t>
  </si>
  <si>
    <t>A</t>
  </si>
  <si>
    <t>900-IP-0353-2022</t>
  </si>
  <si>
    <t>2 DE AGOSTO PENDIENTE DE LA FIRMA DE LAINVITACION A OFERTAR</t>
  </si>
  <si>
    <t>900-IP-0355-2022</t>
  </si>
  <si>
    <t>18 de julio a la espera de la oferta
2 DE AGOSTO EN SOLICTUD DE POLIZAS Y RP. 5 DE AGOSTO A LA ESPERA DE LAS POLIZAS POR PARTE DEL PROVEEDOR..</t>
  </si>
  <si>
    <t>LABORATORIO DE AGUAS RESIDUALES</t>
  </si>
  <si>
    <t>900-IP-0356-2022</t>
  </si>
  <si>
    <t>18 DE JULIO EN REVISION DE LA FPA, SE DEMORO PORQUE EL PROVEEDOR NO ESTA INSCRITO EN EL REGISTRO DE PROVEEDORES
2 DE AGOSTO EN ACEPTACION DE LA OFERTA. 5 AGOSTO EN REVISION DE LA ACEPTACION</t>
  </si>
  <si>
    <t>900-IP-0357-2022</t>
  </si>
  <si>
    <t>2 de agosto en cotizaciones, se estuvo a la espera del cdp por parte del area. 5 DE AGOSTO EN REVISION DE FPA E INVITACION.</t>
  </si>
  <si>
    <t>900-IP-0358-2022</t>
  </si>
  <si>
    <t>2 de agosto en polizas</t>
  </si>
  <si>
    <t>NINFA SANTANA</t>
  </si>
  <si>
    <t>SUBGERENCIA OPERATIVA</t>
  </si>
  <si>
    <t>900-IP-0365-2022</t>
  </si>
  <si>
    <t>900-IP-0367-2022</t>
  </si>
  <si>
    <t>2 DE AGOSTO EN APROBACION DE POLIZAS</t>
  </si>
  <si>
    <t>900-IPU-0372-2022</t>
  </si>
  <si>
    <t>900-IP-0373-2022</t>
  </si>
  <si>
    <t>14 de julio en cotizaciones
19 de julio reasignado a lina echavarria
1 DE AGOSTO EN ELABORACION EN FPA E INVITACION 4 DE AGOSTO SE CIERRA PORQUE EL PROVEEDOR QUE ES CONINFRAESTRUCTURA NO APLICABA POR RPESENTAR PAPELES FALSOS</t>
  </si>
  <si>
    <t>14 de julio en cotizaciones
19 de julio reasignado a lina echavarria
1 DE AGOSTO EN ELABORACION EN FPA E INVITACION</t>
  </si>
  <si>
    <t>900-IP-0375-2022</t>
  </si>
  <si>
    <t>18 de julio en invitacion a ofertar
1 de agosto en revision de la aceptacion de oferta. 5 DE AGOSTO EN SOLICITUD DE POLIZAS AL PROVEEDOR.</t>
  </si>
  <si>
    <t>900-IP-0376-2022</t>
  </si>
  <si>
    <t>1 de agosto esperando firma de fpa e invitacion. 5 DE AGOSTO PARA ENVIAR INVITACION A OFERTAR.</t>
  </si>
  <si>
    <t>900-IP-0378-2022</t>
  </si>
  <si>
    <t>2 DE AGOSTO EN SOLICITUD DEL RP 5 de agosto en aprobacion de polizas</t>
  </si>
  <si>
    <t>900-IP-0379-2022</t>
  </si>
  <si>
    <t>900-IP-0380-2022</t>
  </si>
  <si>
    <t>2 de agosto en evaluacion</t>
  </si>
  <si>
    <t>900-IPU-0381-2022</t>
  </si>
  <si>
    <t>1 DE AGOSTO EN RECEPCION DE COTIZACIONES. 5 DE AGOSTO PENDIENTE REUNION CON LOS DE SAP PARA CLARAR LAS POLIZAS. ESPERANDO RECEPCION DE OFERTAS.</t>
  </si>
  <si>
    <t>900-IP-0382-2022</t>
  </si>
  <si>
    <t>900-IP-0383-2022</t>
  </si>
  <si>
    <t>UNIDAD DE OPERACIÓN</t>
  </si>
  <si>
    <t>900-IP-0384-2022</t>
  </si>
  <si>
    <t>900-IP-0385-2022</t>
  </si>
  <si>
    <t>18 de julio en cotizaciones
2 agosto en solicitud de cotizaciones 4 DE AGOSTO REASIGNADOS A ANA MARIA GIL SE ENCUENTRA EN ELABORACION DE FPA E INVITACION</t>
  </si>
  <si>
    <t>900-IP-0386-2022</t>
  </si>
  <si>
    <t>LABORATORIO DE AGUA POTABLE</t>
  </si>
  <si>
    <t>900-IP-0389-2022</t>
  </si>
  <si>
    <t>UNIDAD DE PRODUCCIÓN DE AGUA POTABLE</t>
  </si>
  <si>
    <t>4 MESES</t>
  </si>
  <si>
    <t>900-IP-0391-2022</t>
  </si>
  <si>
    <t>1 DE AGOSTO EN APROBACION DE POLIZAS</t>
  </si>
  <si>
    <t>300-AO-2040-2022</t>
  </si>
  <si>
    <t>GARZON SALINAS ASOCIADAS SAS</t>
  </si>
  <si>
    <t>900-IP-0392-2022</t>
  </si>
  <si>
    <t>2 DE AGOSTO EN EVALUACION DE LOS SUBSANABLES 4 DE AGOSTO EN ACEPTACION DE LA OFERTA</t>
  </si>
  <si>
    <t>ERROR EN EL NUMERO DE LA IMPUTACION PRESUPUESTAL, ES NECESARIO HACER EL OTRO SI PARA SACAR EL RP</t>
  </si>
  <si>
    <t>900-IP-0396-2022</t>
  </si>
  <si>
    <t>1 DE AGOSTO EN ELABORACION DE FPA E INVITACION, SE DEMORO PORQUE TUVIERON QUE CAMBIAR EL CDP POR INCREMENTO DEL VALOR DEL DOLAR.
12 de agosto reasignado a julio ernesto porque Adalberto sale a vacaciones</t>
  </si>
  <si>
    <t>SE SOLICITO A VIAGNERY LA FIRMA DE LA FICHA DE RQUERIMIENTO PARA AVANZAR Y QUE GESTIONE EL FORMULARIO DE PRECIOS Y CANTIDADES.</t>
  </si>
  <si>
    <t>900-IP-0394-2022</t>
  </si>
  <si>
    <t>900-IP-0393-2022</t>
  </si>
  <si>
    <t>JESSICA ROJAS</t>
  </si>
  <si>
    <t>900-IP-0398-2022</t>
  </si>
  <si>
    <t>3 DE AGOSTO EN EVALUACION
10 de agosto en expedicion de polizas</t>
  </si>
  <si>
    <t>0399</t>
  </si>
  <si>
    <t>FR-800-163-2022</t>
  </si>
  <si>
    <t xml:space="preserve">compra de papel fotocopia blanco láser tamaño carta y oficio de 75gramos con logo de EMCALI y sin logo </t>
  </si>
  <si>
    <t>900-IP-0399-2022</t>
  </si>
  <si>
    <t>UNIDAD DE GESTIÓN ADMINISTRATIVA</t>
  </si>
  <si>
    <t>0400</t>
  </si>
  <si>
    <t>GAA0747</t>
  </si>
  <si>
    <t>FR-300-GAA-0187-2022</t>
  </si>
  <si>
    <t>900-IP-0400-2022</t>
  </si>
  <si>
    <t>1 DE AGOSTO EN ELABORACION DE FPA E INVITACION. 5 DE AGOSTO EN REVISION DE FPA E INVITACION.</t>
  </si>
  <si>
    <t xml:space="preserve">ACUEDUCTO Y ALCANTARILLADO </t>
  </si>
  <si>
    <t>0401</t>
  </si>
  <si>
    <t>GAA0702
GAA0701</t>
  </si>
  <si>
    <t>FR-300-GAA-0186-2022</t>
  </si>
  <si>
    <t>Calificación y/o validación del equipamiento de los laboratorios de los ensayos de UENAA</t>
  </si>
  <si>
    <t>202202459</t>
  </si>
  <si>
    <t>0402</t>
  </si>
  <si>
    <t>GAA0240</t>
  </si>
  <si>
    <t>FR-300-GAA-0179-2022</t>
  </si>
  <si>
    <t xml:space="preserve">Realizar la fabricación y suministro de un carro tanque o camion cisterna para el transporte de cloro liquido de la planta de potabilización puerto mallarino </t>
  </si>
  <si>
    <t>900-IP-0402-2022</t>
  </si>
  <si>
    <t>202202967</t>
  </si>
  <si>
    <t>19 de julio re asignado a leidy franco
1 DE AGOSTO VUELVE A LINA ECHAVARRIA</t>
  </si>
  <si>
    <t>0403</t>
  </si>
  <si>
    <t>GHA0050
GHA0051</t>
  </si>
  <si>
    <t>FR-800-GAGHA-162-2022</t>
  </si>
  <si>
    <t>Suministrar elementos de proteccion personal para las diferentes actividades realizadas por los servidores públicos de EMCALI EICE ESP</t>
  </si>
  <si>
    <t>900-IPU-0403-2022</t>
  </si>
  <si>
    <t>202202880</t>
  </si>
  <si>
    <t>0404</t>
  </si>
  <si>
    <t>Consultoria para la formulación del plan de gestión del plan de manejo para vertimientos (PGRMV) de la planta de tratamiento de aguas residuales cañaveralejo - PTAR-C de EMCALI EICE ESP</t>
  </si>
  <si>
    <t>900-IP-0404-2022</t>
  </si>
  <si>
    <t>202202407</t>
  </si>
  <si>
    <t>0406</t>
  </si>
  <si>
    <t>GAA0750</t>
  </si>
  <si>
    <t>900-IP-0406-2022</t>
  </si>
  <si>
    <t>2 de agosto revision de invitacion y fpa</t>
  </si>
  <si>
    <t>0407</t>
  </si>
  <si>
    <t>GT0197</t>
  </si>
  <si>
    <t>FR-400-GT-0168-2022</t>
  </si>
  <si>
    <t>Suministro de cajas de distribución óptica para redes FTTH, requeridas para garantizar los servicios prestados por la GUENTIC. De acuerdo al formulario de cantidades y precios y a los requisitos técnicos</t>
  </si>
  <si>
    <t>900-IP-0407-2022</t>
  </si>
  <si>
    <t>202202446
202202438</t>
  </si>
  <si>
    <t>0408</t>
  </si>
  <si>
    <t>GT0234</t>
  </si>
  <si>
    <t>FR-400-GT-0186-2022</t>
  </si>
  <si>
    <t>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t>
  </si>
  <si>
    <t>22 DE JULIO REASIGNADO A LINA ECHAVARRIA</t>
  </si>
  <si>
    <t>0410</t>
  </si>
  <si>
    <t>GT0233</t>
  </si>
  <si>
    <t>FR-400-GT-0190-2022</t>
  </si>
  <si>
    <t>Suministro de cubiertas de empalme, materiales de reentradas y accesorios para empalmería de cables multipares con protección de barrera contra humedad (BCH) de uso en la red externa en la operación y mantenimiento de la GUENTIC.</t>
  </si>
  <si>
    <t>900-IP-0410-2022</t>
  </si>
  <si>
    <t>26 DE ULIO SE REASIGNA PROCESO A JULIETA, ANTES LO TENIA JULIO GARCIA
2 DE AGOSTO EN COTIZACIONES, nuevamente no cotizo ningun proveedor</t>
  </si>
  <si>
    <t>Nuevamente no cotizo ningun proveedor, se solicito a Harold Ibarra datos de proveedores. Pendiente en categorizar bien el procesos. Se invitara a Matrix telcom</t>
  </si>
  <si>
    <t>0411</t>
  </si>
  <si>
    <t>GAA0738</t>
  </si>
  <si>
    <t>FR-300-GAA-0188-2022</t>
  </si>
  <si>
    <t>Suministro e Instalación de Bombas Centrifugas de Accionamiento Magnetico para el sistema SCRUBBER de la PTAP Puerto Mallarino</t>
  </si>
  <si>
    <t>900-IP-0411-2022</t>
  </si>
  <si>
    <t>SE TIENE QUE REGISTRAR EL PROVEEDOR GANADOR, LA ENRCARGADA ES ELIZA.</t>
  </si>
  <si>
    <t>0413</t>
  </si>
  <si>
    <t>GAA0758</t>
  </si>
  <si>
    <t>FR-300-GAA-0191-2022</t>
  </si>
  <si>
    <t xml:space="preserve">Suministro de Adsorbente para las Plantas de Tratamiento de Agua Potable Puerto Mallarino, Río Cauca y Río Cali: Carbon Activado </t>
  </si>
  <si>
    <t>1 DE AGOSTO ENR EVISION DEL OTRO SI PARA AJUSTAR LOS PRECIOS</t>
  </si>
  <si>
    <t>0415</t>
  </si>
  <si>
    <t>GHA0254</t>
  </si>
  <si>
    <t>FR-800-GHA-0148-2022</t>
  </si>
  <si>
    <t>Realizar la compra de papel higiénico rollo x 500 mts, como elemento de aseo necesario para EMCALI EICE ESP</t>
  </si>
  <si>
    <t>900-IP-0415-2022</t>
  </si>
  <si>
    <t>0416</t>
  </si>
  <si>
    <t>GHA0255
GHA0256
GHA0257
GHA0258
GHA0259
GHA0260</t>
  </si>
  <si>
    <t>FR-800-GHA-0165-2022</t>
  </si>
  <si>
    <t>Realizar la compra de un (1) Mini Cargador, una (1) Retroexcavadora y una (1) Excavadora, con las condiciones de entrega requeridas por EMCALI EICE ESP, incluyendo el servicio de diez (10) mantenimientos preventivos para cada equipo</t>
  </si>
  <si>
    <t>900-IP-0416-2022</t>
  </si>
  <si>
    <t>202202875
202202796
202204261
202202797
202204262
202202876
202202795
202204260
202202872</t>
  </si>
  <si>
    <t>0417</t>
  </si>
  <si>
    <t>GHA0246</t>
  </si>
  <si>
    <t>FR-800-GHA-0171-2022</t>
  </si>
  <si>
    <t>Suministrar insumos para la dotación y redotación de los botiquines ubicados en las sedes, plantas y vehículos del Parque Automotor de EMCALI EICE ESP</t>
  </si>
  <si>
    <t>900-IP-0417-2022</t>
  </si>
  <si>
    <t>SE REQUIERE MODIFICAR LA INVITACION</t>
  </si>
  <si>
    <t>GAA0237
GAA0238</t>
  </si>
  <si>
    <t>FR-300-GAA-0189-2022</t>
  </si>
  <si>
    <t>Suministro de materiales, recipientes y reactivos para los Laboratorios de las PTAP´s EMCALI</t>
  </si>
  <si>
    <t>202202691
202202692</t>
  </si>
  <si>
    <t>18 d ejulio esperando concepto de seguros
2 DE AGOSTO EN ELABORACION DE FPA</t>
  </si>
  <si>
    <t>0419</t>
  </si>
  <si>
    <t>GAA0756</t>
  </si>
  <si>
    <t>FR-300-GAA-0193-2022</t>
  </si>
  <si>
    <t>Suministro de Coagulante para ser utilizado en el tratamiento de Agua Potable para Consumo Humano</t>
  </si>
  <si>
    <t>18 de julio en elaboracion de la fpa
2 DE AGOSTO EN ACEPTACION DE LA OFERTA</t>
  </si>
  <si>
    <t>0420</t>
  </si>
  <si>
    <t>GE0232</t>
  </si>
  <si>
    <t>FR-500-GE-0215-2022</t>
  </si>
  <si>
    <t>Grupo 1: Suministro de las Luminarias Led para Sistemas de Alumbrado Público de acuerdo a los diseños Fotométricos detallados por proyecto
Grupo 2: Suministro de los proyectos Led para Sistemas de Alumbrado Público de acuerdo a los diseños Fotométricos detallados por proyecto</t>
  </si>
  <si>
    <t>900-IPU-0420-2022</t>
  </si>
  <si>
    <t>0421</t>
  </si>
  <si>
    <t>GE0338</t>
  </si>
  <si>
    <t>FR-500-GE-0218-2022</t>
  </si>
  <si>
    <t>Reparación del Equipo de pruebas VLF CR 60</t>
  </si>
  <si>
    <t>900-IP-0421-2022</t>
  </si>
  <si>
    <t>1 DE AGOSTO EN ELABORACION DE FPA E INVITACION, SE DEMORO PORQUE TUVIERON QUE CAMBIAR EL CDP. 5 DE AGOSTO EN REVISION DE FPA E INVITACION
12 de agosto en numeracion de la aceptacion, rasignado a Julio garcia porque adalberto se va a vacaciones</t>
  </si>
  <si>
    <t>0422</t>
  </si>
  <si>
    <t>GE0339</t>
  </si>
  <si>
    <t>FR-500-GE-0219-2022</t>
  </si>
  <si>
    <t>Servicios de prueba, diagnóstico y localización puntual de falla en los cables subterráneos que presentan daño de acuerdo con la necesidad de EMCALI EICE ESP</t>
  </si>
  <si>
    <t>900-IP-0422-2022</t>
  </si>
  <si>
    <t>2 DE AGOSTO EN SOLICITUD DE CONCEPTOS. 5 DE AGOSTO EN COTIZACION</t>
  </si>
  <si>
    <t>0423</t>
  </si>
  <si>
    <t>GAA0392</t>
  </si>
  <si>
    <t>FR-300-GAA-0159-2022</t>
  </si>
  <si>
    <t>Realizar los estudios y diseños de ingenieria de detalle del tratamiento secundario de la Planta de Tratamiento de Aguas Residuales de Cañaveralejo - PTAR-C de EMCALI EICE ESP</t>
  </si>
  <si>
    <t>900-IPU-0423-2022</t>
  </si>
  <si>
    <t>0424</t>
  </si>
  <si>
    <t>GAA0714</t>
  </si>
  <si>
    <t>FR-300-GAA-0161-2022</t>
  </si>
  <si>
    <t>Realizar la interventoría técnica, administrativa, financiera, contable, ambiental, social y jurídica de la consultoría "Estudios y Diseños de ingeniería de detalle del tratamiento secundario de la Planta de Tratamiento de Aguas Residuales de Cañaveralejo PTAR-C de EMCALI EICE ESP</t>
  </si>
  <si>
    <t>900-IPU-0424-2022</t>
  </si>
  <si>
    <t>0425</t>
  </si>
  <si>
    <t>GTI0188</t>
  </si>
  <si>
    <t>FR-200-GTI-0108-2022</t>
  </si>
  <si>
    <t>Suministrar servicios de consultoría para realizar el análisis de cobertura y cambio de versión del sistema Open Smartflex</t>
  </si>
  <si>
    <t>900-IP-0425-2022</t>
  </si>
  <si>
    <t>4 DE AGOSTO EN ELABROACION DE FPA E INVITACION</t>
  </si>
  <si>
    <t>0426</t>
  </si>
  <si>
    <t>900-IP-0426-2022</t>
  </si>
  <si>
    <t>1 DE AGOSTO EN COTIZACIONES</t>
  </si>
  <si>
    <t>0427</t>
  </si>
  <si>
    <t>GE0242</t>
  </si>
  <si>
    <t>FR-500-GE-0208-2022</t>
  </si>
  <si>
    <t>Suministro DDP de Equipos de prueba y localización de falla en cables aislados o subterraneos de media tensión, incluido el suministro del vehículo con las adecuaciones necesarias para la instalación de los equipos y elementos de prueba, localización y complementarios</t>
  </si>
  <si>
    <t>900-IPU-0427-2022</t>
  </si>
  <si>
    <t>1 DE AGOSTO EN ELABORACION DE LA CC</t>
  </si>
  <si>
    <t>0428</t>
  </si>
  <si>
    <t>PENDINETE</t>
  </si>
  <si>
    <t>900-IP-0428-2022</t>
  </si>
  <si>
    <t>5 DE AGOSTO EN REVISION DE LA FPA POR SILVIA</t>
  </si>
  <si>
    <t>0429</t>
  </si>
  <si>
    <t>GAA0762</t>
  </si>
  <si>
    <t>2 DE AGOSTO SE ASIGNARA A OTRO GESTOR 4 DE AGOSTO REASIGNADO A PAOLA BELTRAN</t>
  </si>
  <si>
    <t>0430</t>
  </si>
  <si>
    <t>GHA0233
GHA0234
GHA0250
GHA0251
GHA0252
GHA0253</t>
  </si>
  <si>
    <t>FR-800-GHA-0150-2022</t>
  </si>
  <si>
    <t>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t>
  </si>
  <si>
    <t>202202129
202203021</t>
  </si>
  <si>
    <t>3 de agosto reasignado a laura pimienta</t>
  </si>
  <si>
    <t>0431</t>
  </si>
  <si>
    <t>GHA0265</t>
  </si>
  <si>
    <t>FR-800-GHA-0181-2022</t>
  </si>
  <si>
    <t>Garantizar el suministro de repuestos requeridos para llevar a cabo mantenimientos correctivos y/o preventivos a los equipos de Presión - Succión que hacen parte del Parque Automotor de EMCALI EICE ESP.</t>
  </si>
  <si>
    <t>202204141
202204548</t>
  </si>
  <si>
    <t>0432</t>
  </si>
  <si>
    <t>GHA0266
GHA0267</t>
  </si>
  <si>
    <t>FR-800-GHA-0184-2022</t>
  </si>
  <si>
    <t>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t>
  </si>
  <si>
    <t>202202894
202204455</t>
  </si>
  <si>
    <t>0433</t>
  </si>
  <si>
    <t>GT0153</t>
  </si>
  <si>
    <t>FR-400-GT-0177-2022</t>
  </si>
  <si>
    <t>Soporte técnico y mantenimiento medidor marca PROMAX, modelo HD Ranger 2</t>
  </si>
  <si>
    <t>900-IP-0433-2022</t>
  </si>
  <si>
    <t>2 DE AGOSTO EN SOLICITUD DE CONCEPTOS. 5 DE AGOSTO EN COTIZACION. SE SACARA POR LITERAL G.</t>
  </si>
  <si>
    <t>0435</t>
  </si>
  <si>
    <t>FR-800-GHA-0132-2022
FR-800-GHA-0142-2022</t>
  </si>
  <si>
    <t>Realizar la compra de dos (2) camperos/Suv 4x4, 3 o 5 puertas, incluyendo el servicio de diez (10) mantenimientos preventivos para cada vehículo, con las adecuaciones requeridas por EMCALI EICE ESP
Realizar la compra de un (1) vehículo SUV 4X4 de 5 puertas; incluyendo el servicio de Diez (10) mantenimientos preventivos para el vehículo, con las adecuaciones requeridas por EMCALI EICE ESP</t>
  </si>
  <si>
    <t>900-IP-0435-2022</t>
  </si>
  <si>
    <t>202201759
202202081
202202682
202202679</t>
  </si>
  <si>
    <t>0436</t>
  </si>
  <si>
    <t>900-IP-0436-2022</t>
  </si>
  <si>
    <t>1 DE AGOSTO EN EVALUACION DE LA OFERTA</t>
  </si>
  <si>
    <t>0437</t>
  </si>
  <si>
    <t>900-IP-0437-2022</t>
  </si>
  <si>
    <t>0438</t>
  </si>
  <si>
    <t>GT0162</t>
  </si>
  <si>
    <t>FR-400-GT-0193-2022</t>
  </si>
  <si>
    <t>Mantenimiento preventivo de las antenas de televisión que hacen parte del sistema de adquisición de señal satelital de canales nacionales e internacionales.</t>
  </si>
  <si>
    <t>900-IP-0438-2022</t>
  </si>
  <si>
    <t>0439</t>
  </si>
  <si>
    <t>GAA0745</t>
  </si>
  <si>
    <t>FR-300-GAA-0194-2022</t>
  </si>
  <si>
    <t>Compra de equipos de Malacate (cabrestante) mecánico con motor Diesel para Desazolve y/o limpieza de Alcantarillas mediante balde metálico (cuchara de almeja).</t>
  </si>
  <si>
    <t>900-IPU-0439-2022</t>
  </si>
  <si>
    <t>202202789
202204263</t>
  </si>
  <si>
    <t>1 DE AGOSTO SOLICITUD DE CONCEPTOS</t>
  </si>
  <si>
    <t>0440</t>
  </si>
  <si>
    <t>FR-300-GAA-0196-2022</t>
  </si>
  <si>
    <t>Suministrar de elementos o materiales de ferretería.</t>
  </si>
  <si>
    <t>UNIDAD DE GESTION ADMINISTRATIVA</t>
  </si>
  <si>
    <t>0441</t>
  </si>
  <si>
    <t>FR-300-GAA-0199-2022</t>
  </si>
  <si>
    <t>Obras civiles y mecánicas para construcción muro de concreto y optimización descarga Estación de Bombeo Guaduales.</t>
  </si>
  <si>
    <t>UNIDAD DE INGENIERÍA</t>
  </si>
  <si>
    <t>0442</t>
  </si>
  <si>
    <t>FR-300-GAA-0200-2022</t>
  </si>
  <si>
    <t>Realizar la interventoría técnica, administrativa, financiera y legal del concreto que surja del proceso, cuyo objeto es realizar la construcción de las obras civiles y mecánicas para construcción de muro de concreto, y optimización descarga Estación de Bombeo Guaduales.</t>
  </si>
  <si>
    <t>0443</t>
  </si>
  <si>
    <t>FR-300-GAA-0201-2022</t>
  </si>
  <si>
    <t>Diseños alcantarillado tramos solicitados por área operativa Grupo 2.</t>
  </si>
  <si>
    <t>0444</t>
  </si>
  <si>
    <t>FR-300-GAA-0202-2022</t>
  </si>
  <si>
    <t>Consultoría para adelantar investigación con circuito cerrado de televisión (CCTV) y evaluación de interceptores y colectores secundarios sanitarios y combinados en sistema de drenaje de la Ciudad de Cali.</t>
  </si>
  <si>
    <t>0445</t>
  </si>
  <si>
    <t>FR-300-GAA-0203-2022</t>
  </si>
  <si>
    <t>Reposición redes tramos criticos Acueducto y Alcantarillado sectores varios.</t>
  </si>
  <si>
    <t>900-IPU-0445-2022</t>
  </si>
  <si>
    <t>1 de agosto en solicitud de conceptos</t>
  </si>
  <si>
    <t>0446</t>
  </si>
  <si>
    <t>FR-300-GAA-0204-2022</t>
  </si>
  <si>
    <t>Obras de control de Aguas Lluvias y de Escorentía Microcuenca Monaco y Obras de estabilización de Laderas CDI La Estrella.</t>
  </si>
  <si>
    <t>0447</t>
  </si>
  <si>
    <t>FR-300-GAA-0205-2022</t>
  </si>
  <si>
    <t>Rehabilitación y/o reparación canales y colectores sectores varios Grupo 3 - Losas Canal Carrera 39E</t>
  </si>
  <si>
    <t>0448</t>
  </si>
  <si>
    <t>GE0335</t>
  </si>
  <si>
    <t>FR-500-GE-0217-2022</t>
  </si>
  <si>
    <t>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</si>
  <si>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0449</t>
  </si>
  <si>
    <t>GAA0721</t>
  </si>
  <si>
    <t>FR-300-GAA-0195-2022</t>
  </si>
  <si>
    <t>Suministro de materiales de ferretería asociados con la ejecución de acometidas de acueducto afines para EMCALI EICE ESP.</t>
  </si>
  <si>
    <t>2 DE AGOSTO EN INVITACION A OFERTAR</t>
  </si>
  <si>
    <t>0450</t>
  </si>
  <si>
    <t>GAA0760</t>
  </si>
  <si>
    <t>FR-300-GAA-0197-2022</t>
  </si>
  <si>
    <t>Acompañamiento en Geotecnia incluyendo asesorías, trabajos de campo, ensayos de Laboratorio e informes tecnicos requeridos para el desarrollo de evaluaciones Geotecnicas 2022</t>
  </si>
  <si>
    <t>0451</t>
  </si>
  <si>
    <t>GAA0759</t>
  </si>
  <si>
    <t>FR-300-GAA-0198-2022</t>
  </si>
  <si>
    <t>Levantamientos Planimetricos y Altimetricos Topograficos año 2022, para proyectos priorizados GUENAA de Acuaducto y Alcantarillado.</t>
  </si>
  <si>
    <t>900-IP-0451-2022</t>
  </si>
  <si>
    <t>0452</t>
  </si>
  <si>
    <t>GAA0300</t>
  </si>
  <si>
    <t>FR-300-GAA-0206-2022</t>
  </si>
  <si>
    <t>Realizar el mantenimiento de los equipos menores de la Unidad de Atención Operativa.</t>
  </si>
  <si>
    <t>900-IP-0452-2022</t>
  </si>
  <si>
    <t>UNIDAD DE ATENCIÓN OPERATIVA</t>
  </si>
  <si>
    <t>0453</t>
  </si>
  <si>
    <t>Mantenimiento a Equipos Electrogenos marca Cummins pertenecientes a las Estaciones de Bombeo de Aguas Lluvias y/o Residuales.</t>
  </si>
  <si>
    <t>900-IP-0453-2022</t>
  </si>
  <si>
    <t>2 DE AGOSTO SE ASIGNARA A OTRO GESTOR 4 DE AGOSTO REASIGNADO A ANA MARIA GIL Y SE ENCUENTRA EN INVITACION A OFERTAR</t>
  </si>
  <si>
    <t>0454</t>
  </si>
  <si>
    <t>1 DE AGOSTO EN RECEPCION DE COTIZACIONES</t>
  </si>
  <si>
    <t>0455</t>
  </si>
  <si>
    <t>900-IP-0455-2022</t>
  </si>
  <si>
    <t>1 DE AGOSTO EN INVITACION A OFERTAR</t>
  </si>
  <si>
    <t>0456</t>
  </si>
  <si>
    <t>GHA0262</t>
  </si>
  <si>
    <t>FR-800-GHA-0175-2022</t>
  </si>
  <si>
    <t>Realizar las actividades necesarias para llevar a cabo las adecuaciones locativas y mantenimiento preventivos y correctivos en la Gerencia Estrategica de Negocio de Acueducto y Alcantarillado - Reparación Cubiertas Planta PTAR-C</t>
  </si>
  <si>
    <t>0457</t>
  </si>
  <si>
    <t>GHA0068</t>
  </si>
  <si>
    <t>FR-800-GHA-0156-2022</t>
  </si>
  <si>
    <t>Realizar la compra de Café y Azúcar para el cumplimiento de las funciones administrativas propias de EMCALI EICE ESP.</t>
  </si>
  <si>
    <t>900-IP-0457-2022</t>
  </si>
  <si>
    <t>202204454
202203557
202203532
202203531
202203533</t>
  </si>
  <si>
    <t>0458</t>
  </si>
  <si>
    <t>GHA0261</t>
  </si>
  <si>
    <t>FR-800-GHA-0174-2022</t>
  </si>
  <si>
    <t>Realizar las actividades necesarias para llevar a cabo las adecuaciones locativas y mantenimiento preventivos y correctivos en la Gerencia Estrategica de Negocio de Acueducto y Alcantarillado - Mantenimiento de cubierta y construcción de filtros Sede Alcantarillado.</t>
  </si>
  <si>
    <t>202203916
202203917</t>
  </si>
  <si>
    <t>0459</t>
  </si>
  <si>
    <t>900-IP-0459-2022</t>
  </si>
  <si>
    <t>0460</t>
  </si>
  <si>
    <t>GT0186
GT0170</t>
  </si>
  <si>
    <t>FR-400-GT-0150-2022</t>
  </si>
  <si>
    <t>Adquirir equipos para radio enlaces en las bandas de frecuencia no licenciada para ampliar la red de acceso inalámbrica.</t>
  </si>
  <si>
    <t>900-IP-0460-2022</t>
  </si>
  <si>
    <t>202204426
202202413</t>
  </si>
  <si>
    <t>0461</t>
  </si>
  <si>
    <t>GHA0279
GHA0280</t>
  </si>
  <si>
    <t xml:space="preserve"> un (1) carrotanque </t>
  </si>
  <si>
    <t>900-IP-0461-2022</t>
  </si>
  <si>
    <t>0462</t>
  </si>
  <si>
    <t>GE0359</t>
  </si>
  <si>
    <t>FR-500-GE-0224-2022</t>
  </si>
  <si>
    <t>Suministro e instalación de persianas en el Edificio de Telecontrol</t>
  </si>
  <si>
    <t>900-IP-0462-2022</t>
  </si>
  <si>
    <t>0463</t>
  </si>
  <si>
    <t>900-IP-0463-2022</t>
  </si>
  <si>
    <t>2 DE AGOSTO EN COTIZACIONES 5 de agosto en revision de fpa e invitacion</t>
  </si>
  <si>
    <t>0464</t>
  </si>
  <si>
    <t>GT0142</t>
  </si>
  <si>
    <t>FR-400-GT-0175-2022</t>
  </si>
  <si>
    <t>Suministro de gases industriales para soldadura y mantenimiento requeridos para el mantenimiento predictivo, preventivo y correctivo de los equipos de aire acondicionado de las centrales telefónicas de EMCALI EICE ESP</t>
  </si>
  <si>
    <t>900-IP-0464-2022</t>
  </si>
  <si>
    <t>0465</t>
  </si>
  <si>
    <t>GT0145</t>
  </si>
  <si>
    <t>FR-400-GT-0191-2022</t>
  </si>
  <si>
    <t>Suministro de filtros y aceites para el mantenimiento preventivo y correctivo de los equipos activos de las Centrales telefónicas de EMCALI EICE ESP</t>
  </si>
  <si>
    <t>900-IP-0465-2022</t>
  </si>
  <si>
    <t>0466</t>
  </si>
  <si>
    <t>GE0281</t>
  </si>
  <si>
    <t>FR-500-GE-0220-2022</t>
  </si>
  <si>
    <t>Suministro de Vehículos 100% eléctricos con base en las Especificaciones Técnicas</t>
  </si>
  <si>
    <t>0467</t>
  </si>
  <si>
    <t>GE0275</t>
  </si>
  <si>
    <t>FR-500-GE-0230-2022</t>
  </si>
  <si>
    <t>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t>
  </si>
  <si>
    <t>OPERACIÓN
INVERSION</t>
  </si>
  <si>
    <t>0468</t>
  </si>
  <si>
    <t>GAA0085</t>
  </si>
  <si>
    <t>FR-300-GAA-0207-2022</t>
  </si>
  <si>
    <t>Realizar calibración en sitio de RVM, rotametros y Caudalimetros instalados en los Bancos de Calibración del Laboratorio de Medidores Acueducto</t>
  </si>
  <si>
    <t>900-IP-0468-2022</t>
  </si>
  <si>
    <t>2 DE AGOSTO EN SOLCIITUD DE COTIZACION. 5 DE AGOSTO EN ELABORACION DE FPA E INVITACION.</t>
  </si>
  <si>
    <t>LABORATORIO DE MEDIDORES ACUEDUCTO</t>
  </si>
  <si>
    <t>0469</t>
  </si>
  <si>
    <t>GAA0673</t>
  </si>
  <si>
    <t>FR-300-GAA-0208-2022</t>
  </si>
  <si>
    <t>Mantenimiento Tanque Subterraneo usado para el almacenamiento de Agua Potable del Laboratorio de Medidores Acueducto.</t>
  </si>
  <si>
    <t>MARIA CAMILA OLIVEROS</t>
  </si>
  <si>
    <t>0470</t>
  </si>
  <si>
    <t>GAA0678
GAA0058</t>
  </si>
  <si>
    <t>FR-300-GAA-0209-2022</t>
  </si>
  <si>
    <t>Mantenimiento Tanque Elevado usado para el almacenamiento de Agua Potable del Laboratorio de Medidores Acueducto.</t>
  </si>
  <si>
    <t>900-IP-0470-2022</t>
  </si>
  <si>
    <t>202202232
202202231
202202226</t>
  </si>
  <si>
    <t>CAMILO NUÑEZ</t>
  </si>
  <si>
    <t>1 DE AGOSTO ENNSOLICITUD DE CONCEPTOS</t>
  </si>
  <si>
    <t>0471</t>
  </si>
  <si>
    <t>GAA0671</t>
  </si>
  <si>
    <t>FR-300-GAA-0210-2022</t>
  </si>
  <si>
    <t>Mantenimiento Sistema de Bombeo y Compresores de aire del Laboratorio de Medidores Acueducto.</t>
  </si>
  <si>
    <t>0472</t>
  </si>
  <si>
    <t>GAA0672</t>
  </si>
  <si>
    <t>FR-300-GAA-0211-2022</t>
  </si>
  <si>
    <t>Mantenimiento de Software de Gestión P&amp;P para la Calibración de Medidores Acueducto</t>
  </si>
  <si>
    <t>900-IP-0472-2022</t>
  </si>
  <si>
    <t>0473</t>
  </si>
  <si>
    <t>GAA0212</t>
  </si>
  <si>
    <t>FR-300-GAA-0212-2022</t>
  </si>
  <si>
    <t>Realizar la calibración de los instrumentos de temperatura, presión y humedad relativa instalados en el Laboratorio de Medidores Acueducto.</t>
  </si>
  <si>
    <t>202202258
202202259
202202260
202202261</t>
  </si>
  <si>
    <t>0474</t>
  </si>
  <si>
    <t>900-IP-0474-2022</t>
  </si>
  <si>
    <t>2 DE AGOSTO EN SOLICITUD DE CONCEPTOS  5 de agosto esta en espera de las polizas</t>
  </si>
  <si>
    <t>Se presento un error en la expedicion de las polizas pór parte del tomador de seguros,.  La jefe se comunico con seguros  para que hicieran la correccion</t>
  </si>
  <si>
    <t>0475</t>
  </si>
  <si>
    <t>900-IP-0475-2022</t>
  </si>
  <si>
    <t>5 DE AGOSTO EN  RECEPCION DE LA OFERTA</t>
  </si>
  <si>
    <t>0476</t>
  </si>
  <si>
    <t>GHA0065
GHA0067</t>
  </si>
  <si>
    <t>FR-800-GHA-0177-2022</t>
  </si>
  <si>
    <t>Realizar la compra de elementos de aseo y cafetería para EMCALI EICE ESP</t>
  </si>
  <si>
    <t>202204454
202203557
202205128</t>
  </si>
  <si>
    <t>0477</t>
  </si>
  <si>
    <t>GTI0191</t>
  </si>
  <si>
    <t>FR-200-GTI-0110-2022</t>
  </si>
  <si>
    <t>Actualización por un(1) año de la Licencia de Infowater a través de la cual opera el Modelo de Simulación Hidráulica de Acueducto en el Centro de Control Maestro de la UENAA</t>
  </si>
  <si>
    <t>0478</t>
  </si>
  <si>
    <t>GTI0189</t>
  </si>
  <si>
    <t>FR-200-GTI-0109-2022</t>
  </si>
  <si>
    <t>Actualización del Licenciamiento del Software ArcGIS sobre el cual, opera el sistema de información Geográfica de la UENAA</t>
  </si>
  <si>
    <t>0479</t>
  </si>
  <si>
    <t>GT0240</t>
  </si>
  <si>
    <t>FR-400-GT-0195-2022</t>
  </si>
  <si>
    <t>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t>
  </si>
  <si>
    <t>LAURA ANGEL</t>
  </si>
  <si>
    <t>0483</t>
  </si>
  <si>
    <t>GAA0772</t>
  </si>
  <si>
    <t>FR-300-GAA-0213-2022</t>
  </si>
  <si>
    <t>Mantenimiento Preventivo para los variadores de velocidad del LMA.</t>
  </si>
  <si>
    <t>0484</t>
  </si>
  <si>
    <t>GAA0677</t>
  </si>
  <si>
    <t>FR-300-GAA-0215-2022</t>
  </si>
  <si>
    <t>Mantenimiento Tablet's  marca ZEBRA del Laboratorio de Medidores Acueducto.</t>
  </si>
  <si>
    <t>0485</t>
  </si>
  <si>
    <t>GT0141</t>
  </si>
  <si>
    <t>FR-400-GT-0151-2022</t>
  </si>
  <si>
    <t>Suministro de elementos para el mantenimiento de los radio enlaces que permita garantizar la disponibilidad y calidad del servicio exigida por los usuarios y cumplir con normatividad que rigen los servicios públicos de Telecomunicaciones en Colombia</t>
  </si>
  <si>
    <t>0486</t>
  </si>
  <si>
    <t>0487</t>
  </si>
  <si>
    <t>0488</t>
  </si>
  <si>
    <t>GF0064</t>
  </si>
  <si>
    <t>FR-700-GF-0063-2022</t>
  </si>
  <si>
    <t>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t>
  </si>
  <si>
    <t>900-IP-0488-2022</t>
  </si>
  <si>
    <t>0489</t>
  </si>
  <si>
    <t>GE0360</t>
  </si>
  <si>
    <t>FR-500-GE-0229-2022</t>
  </si>
  <si>
    <t>Realizar Publicación del Plan de Inversión Vigencia 2021</t>
  </si>
  <si>
    <t>0490</t>
  </si>
  <si>
    <t>GE0352</t>
  </si>
  <si>
    <t>FR-500-GE-0231-2022</t>
  </si>
  <si>
    <t>Suministro Transformadores de Corriente</t>
  </si>
  <si>
    <t>0491</t>
  </si>
  <si>
    <t>GE0276</t>
  </si>
  <si>
    <t>FR-500-GE-0232-2022</t>
  </si>
  <si>
    <t>Suministro de Conectores de Perforación</t>
  </si>
  <si>
    <t>0492</t>
  </si>
  <si>
    <t>GE0354</t>
  </si>
  <si>
    <t>FR-500-GE-0233-2022</t>
  </si>
  <si>
    <t>Suministro de cajas de Policarbonato Polifásicas</t>
  </si>
  <si>
    <t>0493</t>
  </si>
  <si>
    <t>GE0353</t>
  </si>
  <si>
    <t>FR-500-GE-0234-2022</t>
  </si>
  <si>
    <t>Suministro de MODEM 4G</t>
  </si>
  <si>
    <t>0494</t>
  </si>
  <si>
    <t>0495</t>
  </si>
  <si>
    <t>FR-800-GHA-0138-2022</t>
  </si>
  <si>
    <t>0496</t>
  </si>
  <si>
    <t>GAA0741
GAA0765</t>
  </si>
  <si>
    <t>FR-300-GAA-0216-2022</t>
  </si>
  <si>
    <t>Suministro de elementos de ferretería para la Unidad de Mantenimiento</t>
  </si>
  <si>
    <t>202204891
202204423</t>
  </si>
  <si>
    <t>0497</t>
  </si>
  <si>
    <t>GAA0740</t>
  </si>
  <si>
    <t>FR-300-GAA-0217-2022</t>
  </si>
  <si>
    <t>Suministro de Rodamientos para las Unidades de Bombeo de Agua Cruda de la PTAP Puerto Mallarino</t>
  </si>
  <si>
    <t>CARLOS RODRIGUEZ</t>
  </si>
  <si>
    <t>0498</t>
  </si>
  <si>
    <t>GAA0777</t>
  </si>
  <si>
    <t>FR-300-GAA-0218-2022</t>
  </si>
  <si>
    <t>Estudio Estadistico Ensayos de Aptitud para el Laboratorio de Medidores Acueducto.</t>
  </si>
  <si>
    <t>0499</t>
  </si>
  <si>
    <t>GAA0768
GAA0769</t>
  </si>
  <si>
    <t>FR-300-GAA-0219-2022</t>
  </si>
  <si>
    <t>Suministro materiales de ferreteria y tubería para la construcción para la Unidad de Atención Operativa de la UENAA/ Suministro de herramientas y equipos para la Unidad de Atención Operativa de la GUENAA</t>
  </si>
  <si>
    <t>202204510
202204511
202204512</t>
  </si>
  <si>
    <t>0500</t>
  </si>
  <si>
    <t>GHA0236</t>
  </si>
  <si>
    <t>FR-800-GHA-0159-2022</t>
  </si>
  <si>
    <t>Realizar las actividades necesarias para llevar a cabo las adecuaciones locativas y mantenimiento preventivo y correctivo en la Gerencia de Unidad Estrategica de Negocio de Acueducto y Alcantarillado - Planta Calle 13, área auditorio</t>
  </si>
  <si>
    <t>0501</t>
  </si>
  <si>
    <t>GHA0264</t>
  </si>
  <si>
    <t>FR-800-GHA-0179-2022</t>
  </si>
  <si>
    <t>Realizar las actividades necesarias para construir un sistema de bombeo en el edificio Boulevar del Río de EMCALI</t>
  </si>
  <si>
    <t>202203556
202203592
202203629</t>
  </si>
  <si>
    <t>0502</t>
  </si>
  <si>
    <t>GHA0069</t>
  </si>
  <si>
    <t>FR-800-GHA-0186-2022</t>
  </si>
  <si>
    <t>Realizar la compra de artículos de papelería, utiles de escritorio y oficina para las dependencias de EMCALI EICE ESP</t>
  </si>
  <si>
    <t>202204402
202204454
202202956
202203551
202203606
202201123
202205270</t>
  </si>
  <si>
    <t>0503</t>
  </si>
  <si>
    <t>GE0343</t>
  </si>
  <si>
    <t>FR-500-GE-0241-2022</t>
  </si>
  <si>
    <t>Suministro, montaje y puesta en funcionamiento de un Sistema Solar  Fotovoltaico de generación con potancia instalada en DC de 10 kWp, en el cliente Pranha Urbano Constructora</t>
  </si>
  <si>
    <t>0504</t>
  </si>
  <si>
    <t>GE0345</t>
  </si>
  <si>
    <t>FR-500-GE-0242-2022</t>
  </si>
  <si>
    <t>Suministro, montaje y puesta en funcionamiento de un Sistema Solar Fotovoltaico de generación con potencia instalada en DC de 20 kWp, en el cliente Centro Cultural de Cali.</t>
  </si>
  <si>
    <t>0505</t>
  </si>
  <si>
    <t>GE0344</t>
  </si>
  <si>
    <t>FR-500-GE-0243-2022</t>
  </si>
  <si>
    <t>Suministro, montaje y puesta en funcionamiento de un Sistema Solar Fotovoltaico de generación con potencia instalada en DC de 12 kWp, en el cliente Institución Educativa Decepaz</t>
  </si>
  <si>
    <t>0506</t>
  </si>
  <si>
    <t>GE0347</t>
  </si>
  <si>
    <t>FR-500-GE-0245-2022</t>
  </si>
  <si>
    <t>Suministro, montaje y puesta en funcionamiento de un Sistema Solar Fotovoltaico de generación con potencia instalada en DC de 200 kWp, para el cliente TELEFONICA DE COLON EMCALI</t>
  </si>
  <si>
    <t>0507</t>
  </si>
  <si>
    <t>GAA0105</t>
  </si>
  <si>
    <t>FR-300-GAA-0221-2022</t>
  </si>
  <si>
    <t>Mantenimiento de Planta Eléctrica de Emergencia - Planta Calle 13 y del CCM</t>
  </si>
  <si>
    <t>0508</t>
  </si>
  <si>
    <t>GHA0248</t>
  </si>
  <si>
    <t>FR-800-GHA-0178-2022</t>
  </si>
  <si>
    <t>Realizar las actividades necesarias para llevar a cabo las adecuaciones locativas y mantenimiento preventivo y correctivo en las sedes pertenecientes al corporativo de EMCALI - Almacen Central y Centro de Atención y Recaudo del Centro Comercial La Estación</t>
  </si>
  <si>
    <t>0509</t>
  </si>
  <si>
    <t>GAA0778</t>
  </si>
  <si>
    <t>FR-300-GAA-0220-2022</t>
  </si>
  <si>
    <t>Prestación del servicio de transporte para el seguimiento y control de las actividades operativas que contribuyen al cumplimiento del Plan de Reducción de Perdidas de la UENAA establecido ante la SSPD</t>
  </si>
  <si>
    <t>202205458
202205429</t>
  </si>
  <si>
    <t>0510</t>
  </si>
  <si>
    <t>GE0280</t>
  </si>
  <si>
    <t>FR-500-GE-0204-2022</t>
  </si>
  <si>
    <t>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t>
  </si>
  <si>
    <t>202203496
202203505</t>
  </si>
  <si>
    <t>0511</t>
  </si>
  <si>
    <t>GE0363</t>
  </si>
  <si>
    <t>FR-500-GE-0244-2022</t>
  </si>
  <si>
    <t>Servicios de prueba de aceptación y diagnóstigo a una terna de cables subterráneos del circuito AUTOPISTA</t>
  </si>
  <si>
    <t>5 de abril en solicitud de conceptos
20 DE ABRIL EN ELABORACION DE FPA Y CC
5 DE MAYO EN ELBORACION DE LA FPA ESPERANDO INFORMACION DEL AREA
16 de mayo publicado
9 de junio en evaluacion
17 DE JUNIO EN EVALUACION 1
30 DE JUNIO EN EVALUACION SOBRE 2
18 de julio publicacion de informe de evaluacion
1 de agosto en espera de las polizas por parte del proveedor</t>
  </si>
  <si>
    <t>contrato de emergencia</t>
  </si>
  <si>
    <t>900-IP-0360-2022</t>
  </si>
  <si>
    <t xml:space="preserve">31 DE MARZO EN ELABORACION DE LA FPA
5 de Abril en elaboracion de fpa
20 DE ABRIL EN ELABORACION DE FPA Y CC
5 DE MAYO EN REVISION Y ACOMODACION DE LOS NUEVOS FORMATOS DE LA FPA
17 de mayo en recepcion de ofertas se recvoben el 24 de mayo
25 D EMAYO SE RECIBEN OFERTAS
9 DE JUNIO EN EVALUACION
17 DE JUNIO EN EVALUACION 1
30 DE JUNIO EN EVALUACION SOBRE 2
18 de julio solicitud de polizas y rp
1 de agosto en aprobacion de polizas. 5 DE AGOSTO CONTINUA EN APROBACION DE POLIZAS .
</t>
  </si>
  <si>
    <t>300-AO-2024-2022</t>
  </si>
  <si>
    <t>EPRING SAS</t>
  </si>
  <si>
    <t>150 DIAS</t>
  </si>
  <si>
    <t>31 DE MARZO EN SOLICITUD DE CONCEPTOS
5 de abril en elaboracion de la fpa
19 DE ABRIL EN REVISION DE LA CC
4 de mayo publicado
17 de mayo en recepcion de ofertas
SE HIZO ACTA DE SANEAMIENTO PARA RECIBIR OFERTAS DE NUEVO
25 DEMAYO SE RECIBEN OFERTAS
9 de junio en evaluacion de ofertas
17 de junio en evaluacion sobre 1
30 de junio en evaluacion sobre 1
18 de julio en respuesta a las observaciones de informe de evaluacion</t>
  </si>
  <si>
    <t>300-AO-2038-2022</t>
  </si>
  <si>
    <t>INGENIERIA  Y REPRESENTACIONES SAS</t>
  </si>
  <si>
    <t>28 DE NOVIEMBRE</t>
  </si>
  <si>
    <t>20 de abril a la espera de inteligencias de mercado
5 de mayo en inteligencia de mercado
23 DE MAYO PUBLICADO
8 DE JUNIO EN RESPUESTA A OBSERVACIONES YA QUE SE ADENDO AMPLIANDO CRONOGRAMA PARA INCLUIR AUDIENCIA DE PRESICION DE CONDICIONES DE CONTRATACION
21 DE JUNIO SE RECIBEN OFERTAS
30 de junio en evaluacion sobre 1
29 DE JULIO SE SOCLICITARON LAS POLIZAS
2 DE AGOSTO CONTINUA EN EXPEDICION DE POLIZAS</t>
  </si>
  <si>
    <t>800-AO-2072-2022</t>
  </si>
  <si>
    <t>KOMATSU COLOMBIA SAS</t>
  </si>
  <si>
    <t>CHIA CUNDINAMARCA</t>
  </si>
  <si>
    <t>5 DE MAYO EN ELABORACION DE LA FPA Y CC
17 de mayo en respuesta a observaciones
25 de mayo se reciben ofertas
9 de junio en evaluacion sobre1
18 de julio en elabroacion de la minuta
1 DE AGOSTO PENDIENTE DE APROBACION DE POLIZAS</t>
  </si>
  <si>
    <t>200-AO-2035-2022</t>
  </si>
  <si>
    <t>90 DIAS</t>
  </si>
  <si>
    <t>900-IP-0340-2022</t>
  </si>
  <si>
    <t>17 de junio en solicitud de conceptos
30 de junio en invitacion a ofertar
18 de julio en solicitud de polizas y rp
2 DE AGOSTO EN APROBACION DE POLIZAS. 5 DE AGOSTO CONTINUA EN APROBACION DE POLIZAS</t>
  </si>
  <si>
    <t>400-AO-2022-2022</t>
  </si>
  <si>
    <t>METALMECANICA SOS SAS</t>
  </si>
  <si>
    <t>28 DE NOVIEMBRE 2022</t>
  </si>
  <si>
    <t>900-IP-0341-2022</t>
  </si>
  <si>
    <t>17 de junio en solicitud de conceptos
30 de junio en revision de la fpa e invitacion
18 de julio para firma de la aceptacion de la oferta
2 DE AGOSTO EN SOLICTUD DE POLIZAS Y RP. 5 DE POLIZAS SE ENVIO A REGISTRO PRESUPUESTAL. SE TUVO INCONVENIENTES CON EL PROVEEDOR PORQUE ES NATURAL Y QUERIA DESISTIR DEL CONTRATO.</t>
  </si>
  <si>
    <t>400-AO-2046-2022</t>
  </si>
  <si>
    <t>YESID SELIS MENESES</t>
  </si>
  <si>
    <t>60 DIAS</t>
  </si>
  <si>
    <t>900-IP-0354-2022</t>
  </si>
  <si>
    <t>300-AO-2026-2022</t>
  </si>
  <si>
    <t>B&amp;C  BIOSCIENSES SAS</t>
  </si>
  <si>
    <t>900-IP-0366-2022</t>
  </si>
  <si>
    <t>300-AO-2066-2022</t>
  </si>
  <si>
    <t>SOPORTE A LA INGENIERA SAS</t>
  </si>
  <si>
    <t>UNIDAD MANTENIMIENTO</t>
  </si>
  <si>
    <t>900-IP-0368-2022</t>
  </si>
  <si>
    <t>18 DE JULIO EN REVISION DE LA FPA POR PARTE DE LA JEFE SANDRA
1 DE AGOSTO ESPERANDO LA POLIZAS</t>
  </si>
  <si>
    <t>300-AO-2044-2022</t>
  </si>
  <si>
    <t>900-IP-0370-2022</t>
  </si>
  <si>
    <t>18 de julio en aceptacion de oferta</t>
  </si>
  <si>
    <t>300-AO-2028-2022</t>
  </si>
  <si>
    <t>CONTROL E INSTRUMENTACION INDUSTRIAL DE COLOMBIA SAS</t>
  </si>
  <si>
    <t>900-IP-0371-2022</t>
  </si>
  <si>
    <t xml:space="preserve">18 de julio en solicitud de conceptos
17 de mayo en recepcion de observaciones
9 de junio evaluacion
1 AGOSTO EN APROBACION DE POLIZAS. 5 DE AGOSTO SE REALIZO OTRO SI PARA CORREGIR EL FORMULARIO Y EN ESPERA QUE SEGUROS APRUEBE LAS POLIZAS. </t>
  </si>
  <si>
    <t>HABLAR CON PAO PARA EXPLICAR LO SUCEDIDO CON  LAS POLIZAS</t>
  </si>
  <si>
    <t>200-AO-1976-222</t>
  </si>
  <si>
    <t>CONTROLES EMPRESARIALES SAS</t>
  </si>
  <si>
    <t>900-IP-0377-2022</t>
  </si>
  <si>
    <t>2 DE AGOSTO PENDIENTE DE LA POLIZA POR PARTE DEL PROVEEDOR 5 DE AGOSTO EN ESPERA DE LA APROBACION DE POLIZAS</t>
  </si>
  <si>
    <t>0405</t>
  </si>
  <si>
    <t>GHA0274</t>
  </si>
  <si>
    <t>FR-800-GHA-0164-2022</t>
  </si>
  <si>
    <t xml:space="preserve">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t>
  </si>
  <si>
    <t>2 de agosto pata numeracion de la aceptacion</t>
  </si>
  <si>
    <t>0412</t>
  </si>
  <si>
    <t>GAA0755</t>
  </si>
  <si>
    <t>FR-300-GAA-0190-2022</t>
  </si>
  <si>
    <t>18 de julio en elaboracion de la fpa
2 DE AGOSTO EN ESPRA DE LAS POLIZAS</t>
  </si>
  <si>
    <t>300-CMA-1243-2020/300-AO-2071-2022</t>
  </si>
  <si>
    <t>120 DIAS</t>
  </si>
  <si>
    <t>31 DE MARZO EN ELABORACION DE LA FPA
5 de Abril en elaboracion de fpa
20 DE ABRIL EN ELABORACION DE FPA Y CC
5 DE MAYO EN ELBORACION DE LA FPA ESPERANDO INFORMACION DEL AREA
17 de mayo en recepcion de observaciones
26 DE MAYO SE RECIEN OFERTAS
9 DE JUNIO EN EVALUACION
17 DE JUNIO EN EVALUACION1
18 de julio solicitud de polizas y rp
30 DE JUNIO EN EVALUACION SOBRE 2</t>
  </si>
  <si>
    <t>300-AO-2025-2022</t>
  </si>
  <si>
    <t>SAUFER SOLUCIONES SA</t>
  </si>
  <si>
    <t>UNIDAD DE PRODUCCIÓN AGUA POTABLE</t>
  </si>
  <si>
    <t>800-AO-2051-2022</t>
  </si>
  <si>
    <t>LLANTAS  E IMPORTACIONES SAGU SAS</t>
  </si>
  <si>
    <t>5 MESES</t>
  </si>
  <si>
    <t>5 de abril en solicitud de conceptos
20 DE ABRIL EN ELABORACION DE FPA Y CC
5 DE MAYO EN RESPUESTA A OBSERVACIONES
5 DE MAYO REASIGNADO A JUAN PABLO LO TENIA VIAGNERY CONTINUA EN ELABORACIO DE FPA
17 de mayo en subsanables
9 de junio en evalaucion sobre 1 
17 DE JUNIO ESPERANDO EL RUT DEL CONSORCIO
30 DE JUNIO EN SOLICITUD DE POLIZAS
07 DE JULIO ENTREGADO AL AREA</t>
  </si>
  <si>
    <t>300-AO-1969-2022</t>
  </si>
  <si>
    <t>CONSORCIO HA SP5-0247-2022</t>
  </si>
  <si>
    <t>28 d enoviembre 2022</t>
  </si>
  <si>
    <t>400-CMA-1353-2020/400-AO-1949-2022
400-CMA-1353-2020/400-AO-1950-2022
400-CMA-1353-2020/400-AO-1952-2022</t>
  </si>
  <si>
    <t>MATRIX TELCOM LTDA
ELECTROCIVILES SAS
ENERGITEL SAS</t>
  </si>
  <si>
    <t>BOGOTA
RISALRALDA</t>
  </si>
  <si>
    <t>UNIDAD DE MANTTO RED FISICA</t>
  </si>
  <si>
    <t>300-AO-1960-2022</t>
  </si>
  <si>
    <t>ALVARO LAZARO DEL VALLE</t>
  </si>
  <si>
    <t>5 de abril en solicitud de conceptos
20 DE ABRIL EN ELABORACION DE FPA Y CC
6 DE MAYO REASIGNADO A HAROLD MONDRAGON
9 de mayo en elaboracion de la fpa y cc
17 de mayo esperando subsanables
24 DE MAYO EN EVALUACION SOBRE 2
9 DE JUNIO ESPERANDO  COMITÉ
30 de junio esperando las polizas por parte del proveedor
18 de julio en aprobacion de polizas
1 de agosto en aprobacion de polizas</t>
  </si>
  <si>
    <t>300-AO-1959-2022</t>
  </si>
  <si>
    <t xml:space="preserve">9 de mayo en elaboracion de la fpa y cc
17 de mayo publicado
1 DE JUNIO SE RECIBEN OFERTAS
18 DE JULIO EN SOLICITUD DE POLIZAS
</t>
  </si>
  <si>
    <t>300-AO-2023-2022</t>
  </si>
  <si>
    <t>KAESER COMPRESORES DE COLOMBIA SAS</t>
  </si>
  <si>
    <t>MUNICIPIO DE TENJO CUNDINAMARCA</t>
  </si>
  <si>
    <t>5 de abril en solicitud de conceptos
20 DE ABRIL EN ELABORACION DE FPA Y CC
5 DE MAYO REASIGNADO A JUAN PABLO LO TENIA VIAGNERY CONTINUA EN ELABORACIO DE FPA
17 de mayo en recepcion de ofertas
9 de junio en evaluacion
17 DE JUNIO EN EVALUACION
30 DE JUNIO EN PUBLICACION DE INFORME DE EVALUACION
18 DE JULIO EN APROBACION DE POLIZAS
18 de julio entregado al area</t>
  </si>
  <si>
    <t>300-AO-1980-2022</t>
  </si>
  <si>
    <t>SOPORTE A LA INGENIERIA SAS</t>
  </si>
  <si>
    <t>5 de abril en solicitud de conceptos
20 DE ABRIL EN ELABORACION DE FPA Y CC
6 DE MAYO REASIGNADO A HAROLD MONDRAGON
10 de mayo se reciben ofertas
17 de mayo en informe de evaluacion
24 DE MAYO EN EVALUACION SOBRE 2
9 DE JUNIO ESPERANDO  COMITÉ
30 DE JUNIO EN SOLICITUD DE POLIZAS
11 DE JULIO ENTREGADO AL AREA</t>
  </si>
  <si>
    <t>300-AO-1961-2022</t>
  </si>
  <si>
    <t>CMO CONTRATISTAS MANO OBRA SAS</t>
  </si>
  <si>
    <t>17 de mayo publicado esperando recepcion de ofertas
25 DE MAYO RECEPCION DE OFERTAS
9 DE JUNIO ESPERANDO  COMITÉ
30 DE JUNIO PUBLICACION DE INFORME DE EVALUACION
18 DE JULIO EN APROBACION DE POLIZAS</t>
  </si>
  <si>
    <t>300-AO-18987-2022</t>
  </si>
  <si>
    <t>CONINFRAESTRUCTURA SAS</t>
  </si>
  <si>
    <t>9 de junio en evaluacion
17 DE JUNIO EN EVALUACION SOBRE 1
30 DE JUNIO EVALUACION SOBRE 2
18 DE JULIO ELABORANDO ACTA DE ADJUDICACION
19 DE JULIO CERRADO
SE CONTRATO POR IP</t>
  </si>
  <si>
    <t>300-AO-2052-2022</t>
  </si>
  <si>
    <t>este procesos se sacara como una ip, a la espera que termine la ley de garantias
17 de junio en solicitud de conceptos
30 de junio en recepcion de ofertas
18 de julio en espera de la poliza por parte del proveedor</t>
  </si>
  <si>
    <t>500-AO-1989-2022</t>
  </si>
  <si>
    <t>SUBGERENCIA DISTRIBUCION</t>
  </si>
  <si>
    <t>300-CMA-1974-2020/300-AO-1972-2022</t>
  </si>
  <si>
    <t>CMA-1974-2020/300-AO-1973-2022
CMA-1974-2020/300-AO-1973-2022</t>
  </si>
  <si>
    <t>ALMACEN RODAFER RF SAS
EQUIPOS Y HERRAMIENTAS INDUSTRIALES SAS</t>
  </si>
  <si>
    <t>500-CMA-1743-2021/500-AO-1958-2022</t>
  </si>
  <si>
    <t>9 de junio en aceptacion de la oferta
30 de junio en aprobacion
11 DE JULIO ENTREGADO AL AREA</t>
  </si>
  <si>
    <t>300-CMA-1892-2022/ 300-AO-1956-2022</t>
  </si>
  <si>
    <t>9 de junio en aceptacion de la oferta.
30 de junio en solicitud de polizas
27 DE JULIO ENTREGADO AL AREA</t>
  </si>
  <si>
    <t>SUBGERENCIA TECNICA GUENE</t>
  </si>
  <si>
    <t>9 de junio en revision del expediente
18 de julio en rp</t>
  </si>
  <si>
    <t>300-CMA-1974-2020/300-AO-2020-2022
300-CMA-1974-2020/300-AO-2021-2022</t>
  </si>
  <si>
    <t xml:space="preserve">EQUIPOS Y HERRAMIENTAS INDUSTRIALES SAS </t>
  </si>
  <si>
    <t>500-CMA-1743-2021/500-AO-1970-2022</t>
  </si>
  <si>
    <t>900-IP-337-2022</t>
  </si>
  <si>
    <t>30 de junio en revision de fpa e invitacion
18 de julio para firma de la aceptacion de la oferta</t>
  </si>
  <si>
    <t>500-AO-2036-2022</t>
  </si>
  <si>
    <t>POTENCIA Y TECNOLOGIA  INCORPORADA SA</t>
  </si>
  <si>
    <t>17 de junio en solciitud de conceptos
30 DE JUNIO EN REVISION DE LA INVITACION POR DIANA DE LA CRUZ
19 de julio en aprobacion de polizas</t>
  </si>
  <si>
    <t>300-AO-1992-2022</t>
  </si>
  <si>
    <t>SOLCO INDUSTRIAL SAS</t>
  </si>
  <si>
    <t>140 dias</t>
  </si>
  <si>
    <t>14 de julio en aprobacuon de polizas
15 de julio entregado al area</t>
  </si>
  <si>
    <t>300-AO-1978-2022</t>
  </si>
  <si>
    <t>B&amp;C BIOSCIENCES SAS</t>
  </si>
  <si>
    <t>900-IP-0352-2022</t>
  </si>
  <si>
    <t>17 de junio en solicitud de conceptos
30 de junio en revision de la fpa e invitacion
18 de julio para firma de la aceptacion de la oferta</t>
  </si>
  <si>
    <t>400-AO-2037-2022</t>
  </si>
  <si>
    <t>900-IP-0359-2022</t>
  </si>
  <si>
    <t>300-AO-1968-2022</t>
  </si>
  <si>
    <t>PROQUING SAS</t>
  </si>
  <si>
    <t>300-CMA-1243-2020/300-AO-1979-2022</t>
  </si>
  <si>
    <t>900-IP-0363-2022</t>
  </si>
  <si>
    <t xml:space="preserve">18 de julio en revision de fpa </t>
  </si>
  <si>
    <t>800-AO-2053-2022</t>
  </si>
  <si>
    <t>HECTOR ANGULO SINISTERRA</t>
  </si>
  <si>
    <t>900-IP-0364-2022</t>
  </si>
  <si>
    <t>30 de junio en invitacion a ofertar
14 de julio en evaluacion</t>
  </si>
  <si>
    <t>300-AO-1988-2022</t>
  </si>
  <si>
    <t>B&amp;V INGENIERIA SAS</t>
  </si>
  <si>
    <t>Envigado Antioquia</t>
  </si>
  <si>
    <t>900-IP-0369-2022</t>
  </si>
  <si>
    <t>300-AO-2032-2022</t>
  </si>
  <si>
    <t>POLCO SAS</t>
  </si>
  <si>
    <t>0409</t>
  </si>
  <si>
    <t>GE0337</t>
  </si>
  <si>
    <t>900-IP-0409-2022</t>
  </si>
  <si>
    <t>500-AO-2023-2022</t>
  </si>
  <si>
    <t>CONFECCIONES ELECTRICAS SAS EN REORGANIZACION</t>
  </si>
  <si>
    <t>0414</t>
  </si>
  <si>
    <t>GAA0757</t>
  </si>
  <si>
    <t>FR-300-GAA-0192-2022</t>
  </si>
  <si>
    <t>Suministro de Coagulante para las Plantas Río Cauca, Río Cali, La Reforma y L a Rivera: Hidroxicloruro de Aluminio</t>
  </si>
  <si>
    <t>16 DE ENERO 2023</t>
  </si>
  <si>
    <t>300-CMA-1246-2020/300-AO-2029-2022</t>
  </si>
  <si>
    <t>jul</t>
  </si>
  <si>
    <t>5 dias en espera para iniciar proceso por Ley de Garantías y 4 dáis en aprobación de pólizas</t>
  </si>
  <si>
    <t>El proceso inicia el 21 de junio por Ley de Garantías (20)</t>
  </si>
  <si>
    <t>5 dias en espera para iniciar proceso por Ley de Garantías y 4 días en entrega de pólizas</t>
  </si>
  <si>
    <t>Requerimiento de menor cuantía recibido el 11 de marzo pero el 15 de abril se toma la decisición de iniciar una IPU</t>
  </si>
  <si>
    <t>Elabotacion de la inteligencia de mercado</t>
  </si>
  <si>
    <t>Trámite de expedición del RUT del consorio</t>
  </si>
  <si>
    <t>Entrega de pólizas por parte del proveedor</t>
  </si>
  <si>
    <t>900-IP-0333-2022</t>
  </si>
  <si>
    <t>500-AO-1955-2020</t>
  </si>
  <si>
    <t>CENTELSA S.A.</t>
  </si>
  <si>
    <t>No. Acuerdo Comercial / Contrato Marco</t>
  </si>
  <si>
    <t>BASE DE DATOS CONTROL PROCESOS 2022</t>
  </si>
  <si>
    <t>108-202100108</t>
  </si>
  <si>
    <t>108-202200003</t>
  </si>
  <si>
    <t>18 de julio en cotizaciones
2 de agosto enr ecepcion de ofertas para el 4 de agosto 4 DE AGOSTO REASIGNADO A ANA MARIA GIL
24 DE AGOSTO SE CERRO PORQUE LE PROVEEDOR NO APORTO EL DOCUMENTO DE SISTEMA DE SEGURIDAD Y SALUD EN EL TRABAJO.</t>
  </si>
  <si>
    <t>300-AO-2047-2022</t>
  </si>
  <si>
    <t>HOB TECHNOLOGY SAS</t>
  </si>
  <si>
    <t>CALIL</t>
  </si>
  <si>
    <t>FR-800-GAGHA-138-2022</t>
  </si>
  <si>
    <t>Por presupuesto</t>
  </si>
  <si>
    <t>EN TRAMITE</t>
  </si>
  <si>
    <t>31 de marzo en elaboracion de fpa y cc, SE REASIGNBO EL PROCESO A PABLO CAICEDO, ANTES LO TENIA LEYDI FRANCO
20 DE ABRIL EN REVISION DE LA FPA
5 DE MAYO CONTINUA EN ESTRUCTURACION
17 de mayo en respuesta a observaciones
25 de mayo se recoben ofertas
9 de junio en evaluacion sobre1
18 de julio en acta de adjudicacion
29 de julio esperando polizas por parte del proveedor
1 DE AGOSTO PENDIENTE DE APROBACION DE POLIZAS
18 DE AGOSTO EN OTRO SI PARA AMPLIAICON DEL PLAZO</t>
  </si>
  <si>
    <t>17 de mayo para la firma de Memorando de devolucion por parte del Gerente de la GAE
19 DE MAYO SE ENVIO CORREO AL AREA PARA SOLICITAR JUSTIFICACION DE OTRO SI
9 de junio continua en la espera de la justificacion para el otro si
30 de junio esprando justificacion para otro si
18 de agosto en revision de invitacion por cambio del cambio de la forma de pago</t>
  </si>
  <si>
    <t>108-202200005</t>
  </si>
  <si>
    <t>108-202200007</t>
  </si>
  <si>
    <t>8 DE JUNIO EN ELABORACION DE LA CC
17 DE JUNIO PARA REVISION DE LA CC
30 de junio esperando la informacion del area en la modificaciones de las especificaciones tecnicas
3 DE AGOSTO EN EXPEDICION DE LAS POLIZAS DE SERIEDAD DE LA OFERTA PARA PRESENTAR OFERTA
10 de agosto en evalucion
31 de agosto en solicitud de polizas al proveedor</t>
  </si>
  <si>
    <t>1 DE AGOSTO EN ELABORACION DE FPA E INVITACION 4 DE AGOSTO RECEPCION DE OFERTAS. 5 DE AGOSTO EN COTIZACIONES
31 de agosto en espera de informacion del jefe porque la vf que envio el area estaba anulada.</t>
  </si>
  <si>
    <t>108-202200008</t>
  </si>
  <si>
    <t>400-AO-2073-2022</t>
  </si>
  <si>
    <t>8 de agosto reasignado a ivan aldana, lo tenia mario</t>
  </si>
  <si>
    <t>2 DE AGOSTO EN SOLICITUD DE CONCEPTOS. 5 DE AGOSTO EN ELABORACION DE FPA E INVITACION
18 de agosto en invtitacion a ofertar</t>
  </si>
  <si>
    <t>108-202200001</t>
  </si>
  <si>
    <t>1 DE AGOSTO ENNSOLICITUD DE CONCEPTOS
SE DEVUELVE  PORQUE ES UN PROCESO SAM</t>
  </si>
  <si>
    <t>900-IP-0476-2022</t>
  </si>
  <si>
    <t>18 DE AGOSTO EN ELABORACION DE  INVITACION</t>
  </si>
  <si>
    <t>108-202200011</t>
  </si>
  <si>
    <t>0514</t>
  </si>
  <si>
    <t>0517</t>
  </si>
  <si>
    <t>900-IP-517-2022</t>
  </si>
  <si>
    <t>0518</t>
  </si>
  <si>
    <t>GT0175</t>
  </si>
  <si>
    <t>FR-400-GT-0198-2022</t>
  </si>
  <si>
    <t>Realizar el mantenimiento al Sistema de Extinción de Incendios de los DATA CENTER de LIMONAR Y SAN FERNANDO pertenecientes a la GUENTIC de EMCALI EICE ESP</t>
  </si>
  <si>
    <t>0519</t>
  </si>
  <si>
    <t>GT0182
GT0183</t>
  </si>
  <si>
    <t>FR-400-GT-0196-2022</t>
  </si>
  <si>
    <t>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t>
  </si>
  <si>
    <t>202204554
202205462</t>
  </si>
  <si>
    <t>0520</t>
  </si>
  <si>
    <t>GE0290
GE0328</t>
  </si>
  <si>
    <t>FR-500-GE-0237-2022</t>
  </si>
  <si>
    <t>Suministro DDP de transformadores eléctricos de distribución</t>
  </si>
  <si>
    <t>202205605
202205608</t>
  </si>
  <si>
    <t>0521</t>
  </si>
  <si>
    <t>GE0378</t>
  </si>
  <si>
    <t>FR-500-GE-0249-2022</t>
  </si>
  <si>
    <t>Suministro de cable eléctrico - para acometida AC de proyecto solar. Planta de Tratamiento de Agua Potable Río Cauca.</t>
  </si>
  <si>
    <t>0522</t>
  </si>
  <si>
    <t>0523</t>
  </si>
  <si>
    <t>GE0374</t>
  </si>
  <si>
    <t>FR-500-GE-0239-2022</t>
  </si>
  <si>
    <t>Mantenimiento Preventivo a Equipo Cromatrografo de Gases</t>
  </si>
  <si>
    <t>0524</t>
  </si>
  <si>
    <t>FR-500-GE-0248-2022</t>
  </si>
  <si>
    <t>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t>
  </si>
  <si>
    <t>0525</t>
  </si>
  <si>
    <t>GC</t>
  </si>
  <si>
    <t>GC0515</t>
  </si>
  <si>
    <t>FR-600-GC-0558-2022</t>
  </si>
  <si>
    <t>Compra televisores, soportes para televisores y hornos microondas para los Centros de Atención y el Contact Center de EMCALI EICE ESP</t>
  </si>
  <si>
    <t>0526</t>
  </si>
  <si>
    <t>GE0357</t>
  </si>
  <si>
    <t>FR-500-GE-0252-2022</t>
  </si>
  <si>
    <t>Suministro de probador de relación de transformación T.T.R. portatil, para redes de media y baja tensión del SDL de EMCALI</t>
  </si>
  <si>
    <t>0527</t>
  </si>
  <si>
    <t>GE0208</t>
  </si>
  <si>
    <t>FR-500-GE-0160-2022</t>
  </si>
  <si>
    <t>Suministro de Oxigeno y Acetileno</t>
  </si>
  <si>
    <t>0529</t>
  </si>
  <si>
    <t>GTI0196</t>
  </si>
  <si>
    <t>FR-200-GTI-0114-2022</t>
  </si>
  <si>
    <t>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t>
  </si>
  <si>
    <t>0530</t>
  </si>
  <si>
    <t>FR-800-GHA-0194-2022</t>
  </si>
  <si>
    <t>Elaborar y entregar recordatorios y botones fundidos y grabados con el logo de EMCALI EICE ESP</t>
  </si>
  <si>
    <t>0531</t>
  </si>
  <si>
    <t>GHA0272</t>
  </si>
  <si>
    <t>FR-800-GHA-0191-2022</t>
  </si>
  <si>
    <t>Realizar el avalúo comercial de los lotes de terreno y obra civil de los siguientes inmuebles propiedad de EMCALI EICE ESP ENER 20 - ENER 22 - ENER 24 - ACUE 78</t>
  </si>
  <si>
    <t>0532</t>
  </si>
  <si>
    <t>GHA0282</t>
  </si>
  <si>
    <t>FR-800-GHA-0195-2022</t>
  </si>
  <si>
    <t>Programar e integrar el sistema de control de acceso Andover Continuum para ascensor privado torre EMCALI</t>
  </si>
  <si>
    <t>0533</t>
  </si>
  <si>
    <t>GAA0299</t>
  </si>
  <si>
    <t>FR-300-GAA-0226-2022</t>
  </si>
  <si>
    <t>Realizar la refacción y restitución del espacio público en los sitios donde se llevaron a cabo las reparaciones de Daños de Acueducto en Acometidas o Red Matriz</t>
  </si>
  <si>
    <t>108-202200013</t>
  </si>
  <si>
    <t>0534</t>
  </si>
  <si>
    <t>GAA0791</t>
  </si>
  <si>
    <t>FR-300-GAA-0228-2022</t>
  </si>
  <si>
    <t>Participación en programas de Ensayos de Aptitud de los Laboratorios de Ensayos de la UENAA.</t>
  </si>
  <si>
    <t>202205485
202205667</t>
  </si>
  <si>
    <t>0535</t>
  </si>
  <si>
    <t>GAA0794</t>
  </si>
  <si>
    <t>FR-300-GAA-0230-2022</t>
  </si>
  <si>
    <t>Reparación de daño de alcantarillado en margen derecha del canal Sur con calle 42</t>
  </si>
  <si>
    <t>0536</t>
  </si>
  <si>
    <t>GAA0103</t>
  </si>
  <si>
    <t>FR-300-GAA-0229-2022</t>
  </si>
  <si>
    <t>Mantenimiento preventivo y correctivo para fotocopiadora de planos para la Unidad de Ingenieria (Incluye suministros y repuestos).</t>
  </si>
  <si>
    <t>0537</t>
  </si>
  <si>
    <t>GE0346</t>
  </si>
  <si>
    <t>FR-500-GE-0259-2022</t>
  </si>
  <si>
    <t>Suministro, montaje y puesta en funcionamiento de un Sistema Solar Fotovoltaico de generación con potencia instalada en DC de 600 kWp, en el cliente RED SALUD ORIENTE</t>
  </si>
  <si>
    <t>0538</t>
  </si>
  <si>
    <t>GC0526</t>
  </si>
  <si>
    <t>FR-600-GC-0559-2022</t>
  </si>
  <si>
    <t>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t>
  </si>
  <si>
    <t>0539</t>
  </si>
  <si>
    <t>GT0146</t>
  </si>
  <si>
    <t>FR-400-GT-0199-2022</t>
  </si>
  <si>
    <t>Adquisición de baterías (fuentes de poder) y modulos de alimentación electrica para la Matriz L que hace parte de la plataforma de IPTV (repuestos)</t>
  </si>
  <si>
    <t>0540</t>
  </si>
  <si>
    <t>GT0173</t>
  </si>
  <si>
    <t>FR-400-GT-0205-2022</t>
  </si>
  <si>
    <t>Soporte y Mantenimiento de alimentación DC (Potencia) de las UPS´s de San Fernando y Limonar de la UENTIC de EMCALI EICE ESP</t>
  </si>
  <si>
    <t>0541</t>
  </si>
  <si>
    <t>GAA0104</t>
  </si>
  <si>
    <t>FR-300-GAA-0231-2022</t>
  </si>
  <si>
    <t>Mantenimiento correctivo y preventivo para Plotter de la Unidad de Ingenieria (Incluye Suministros y Repuestos)</t>
  </si>
  <si>
    <t>0542</t>
  </si>
  <si>
    <t>GAA0788</t>
  </si>
  <si>
    <t>FR-300-GAA-0232-2022</t>
  </si>
  <si>
    <t>Suministrar un dosificador Manual Titrator Plus marca Metrohm para el Laboratorio de Aguas Residuales</t>
  </si>
  <si>
    <t>0543</t>
  </si>
  <si>
    <t>GAA0790</t>
  </si>
  <si>
    <t>FR-300-GAA-0233-2022</t>
  </si>
  <si>
    <t>Suministrar gases y realizar mantenimiento a las lineas de gases de los Laboratorios de Ensayos de la UENAA</t>
  </si>
  <si>
    <t>202205540
202205541
202205542
202205666</t>
  </si>
  <si>
    <t>0544</t>
  </si>
  <si>
    <t>GHA0224
GHA0225
GHA0277
GHA0278</t>
  </si>
  <si>
    <t>FR-800-GHA-0142-2022
FR-800-GHA-0139-2022</t>
  </si>
  <si>
    <t>Realizar la compra de un (1) vehículo SUV 4X4 de 5 puertas; incluyendo el servicio de Diez (10) mantenimientos preventivos para el vehículo, con las adecuaciones requeridas por EMCALI EICE ESP
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t>
  </si>
  <si>
    <t>202202682
202202679
202202571
202202573
202202574
202202575</t>
  </si>
  <si>
    <t>0545</t>
  </si>
  <si>
    <t>GT0249</t>
  </si>
  <si>
    <t>0546</t>
  </si>
  <si>
    <t>GT0209</t>
  </si>
  <si>
    <t>FR-400-GT-0172-2022</t>
  </si>
  <si>
    <t>Mano de obra y materiales para el mantenimiento correctivo y preventivo de Tapas Circulares en Concreto con Sistema de Seguridad Mecánico, con el fin de proteger la red de acceso de EMCALI EICE ESP, según las especificaciones técnicas.</t>
  </si>
  <si>
    <t>0547</t>
  </si>
  <si>
    <t>FR-300-GAA-0227-2022</t>
  </si>
  <si>
    <t>Realizar la contratación de la consultoría sobre la formulación del Plan Maestro de Acueducto y Alcantarillado del Área de Prestación de Servicios de EMCALI EICE ESP</t>
  </si>
  <si>
    <t>0548</t>
  </si>
  <si>
    <t>FR-300-GAA-0240-2022</t>
  </si>
  <si>
    <t>Realizar la contratación de la Interventoría a la Consultoría sobre la formulación del Plan Maestro de Acueducto y Alcantarillado del Área de Prestación de Servicios de EMCALI EICE ESP</t>
  </si>
  <si>
    <t>0549</t>
  </si>
  <si>
    <t>GAA0061</t>
  </si>
  <si>
    <t>FR-300-GAA-0235-2022</t>
  </si>
  <si>
    <t>Suministro de materiales para realizar calibraciones en el laboratorio de medidores acueducto</t>
  </si>
  <si>
    <t>0550</t>
  </si>
  <si>
    <t>GAA0792</t>
  </si>
  <si>
    <t>FR-300-GAA-0236-2022</t>
  </si>
  <si>
    <t>Suministro de materiales (elementos, repuestos y cristaleria) y equipos para realizar ensayos en los Laboratorios de Ensayos de la UENAA</t>
  </si>
  <si>
    <t>202202246
202202248
202205378</t>
  </si>
  <si>
    <t>0551</t>
  </si>
  <si>
    <t>GAA0787
GAA0693</t>
  </si>
  <si>
    <t>FR-300-GAA-0237-2022</t>
  </si>
  <si>
    <t>Suministro de equipos marca HACH para los Laboratorios de Ensayos de la UENAA</t>
  </si>
  <si>
    <t>202205375
202205376
202202252</t>
  </si>
  <si>
    <t>0552</t>
  </si>
  <si>
    <t>GAA0789
GAA0065
GAA0066</t>
  </si>
  <si>
    <t>FR-300-GAA-0238-2022</t>
  </si>
  <si>
    <t>Suministro de reactivos y equipos para realizar ensayos en los Laboratorios de la UENAA</t>
  </si>
  <si>
    <t>202205543
202205544
202202250
202202255</t>
  </si>
  <si>
    <t>GAA0062
GAA0063</t>
  </si>
  <si>
    <t>FR-300-GAA-0239-2022</t>
  </si>
  <si>
    <t>Suministro de reactivos, medios de cultivo y materiales de referencia para realizar ensayos en los Laboratorios de Ensayos de la UENAA</t>
  </si>
  <si>
    <t>202205450
202202975
202203884
202205449</t>
  </si>
  <si>
    <t>0554</t>
  </si>
  <si>
    <t>GAA0796</t>
  </si>
  <si>
    <t>FR-300-GAA-0234-2022</t>
  </si>
  <si>
    <t>202202688
202203114</t>
  </si>
  <si>
    <t>0555</t>
  </si>
  <si>
    <t>GE0364</t>
  </si>
  <si>
    <t>FR-500-GE-0256-2022</t>
  </si>
  <si>
    <t>Servicio de integración de los datos entre el sistema de control de la subestación Alferez y el Centro de Control de Energía</t>
  </si>
  <si>
    <t>0556</t>
  </si>
  <si>
    <t>Compra televisores, soporte para televisores y hornos mocroondas para los Centros de Atención y el Contact Center de EMCALI EICE ESP</t>
  </si>
  <si>
    <t>0557</t>
  </si>
  <si>
    <t>GHA0066</t>
  </si>
  <si>
    <t>FR-800-GHA-0185-2022</t>
  </si>
  <si>
    <t>Realizar la compra de jabon liquido espumoso para el lavado de manos</t>
  </si>
  <si>
    <t>0558</t>
  </si>
  <si>
    <t>GHA0263</t>
  </si>
  <si>
    <t>FR-800-GHA-0176-2022</t>
  </si>
  <si>
    <t>Realizar las actividades necesarias para llevar a cabo las adecuaciones locativas y mantenimiento preventivos y correctivos en la Gerencia de Unidad Estrategica de Negocio de Acuaducto y Alcantarillado - Reparación Cubiertas Planta Centro Operativo Navarro</t>
  </si>
  <si>
    <t>0559</t>
  </si>
  <si>
    <t>FR-400-GT-0200-2022</t>
  </si>
  <si>
    <t>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t>
  </si>
  <si>
    <t>202205463
202205601</t>
  </si>
  <si>
    <t>GT0134</t>
  </si>
  <si>
    <t>FR-400-GT-0162-2022</t>
  </si>
  <si>
    <t>Suministro Plataforma de control Softswitch clase 4 y clase 5 y SBC para la GUENTIC</t>
  </si>
  <si>
    <t>0561</t>
  </si>
  <si>
    <t>0562</t>
  </si>
  <si>
    <t>GAA0801</t>
  </si>
  <si>
    <t>FR-300-GAA-0241-2022</t>
  </si>
  <si>
    <t>Mantenimiento preventivo y correctivo de los componentes hidráulicos y obra civiles de las estaciones reguladoras de presion - ERP, puntos criticos - PC, en los sectores materializados del sistema de distribución de Agua Potable de la ciudad de Cali</t>
  </si>
  <si>
    <t>0563</t>
  </si>
  <si>
    <t>GAA0798</t>
  </si>
  <si>
    <t>FR-300-GAA-0242-2022</t>
  </si>
  <si>
    <t>Mantenimiento de los componentes eléctricos, de instrumentación y comunicaciones en las estaciones reguladoras de presion (ERP), puntoscríticos (PC) de la Sectorización Hidráulica</t>
  </si>
  <si>
    <t>0564</t>
  </si>
  <si>
    <t>GAA0799</t>
  </si>
  <si>
    <t>FR-300-GAA-0243-2022</t>
  </si>
  <si>
    <t>Mantenimientos de los macromedidores electromagneticos de la sectorización hidráulica del sistema de distribución de Agua Potable de la ciudad de Cali</t>
  </si>
  <si>
    <t>0565</t>
  </si>
  <si>
    <t>GAA0800</t>
  </si>
  <si>
    <t>FR-300-GAA-0244-2022</t>
  </si>
  <si>
    <t>Mantenimientos de CAP Y Dataloger de las estaciones reguladoras de presión (ERP) y puntos criticos (PC) del sistema de distribución de Agua Potable de EMCALI EICE ESP</t>
  </si>
  <si>
    <t>0566</t>
  </si>
  <si>
    <t>FR-200-GTI-0119-2022</t>
  </si>
  <si>
    <t>Suscripción para uso de la plataforma de servicios de las API´s (Application Programming Interface) de Google Maps, para cumplir con los requerimientos propios o de Ley, respecto a la geolocalización de servicios, personas, rutas</t>
  </si>
  <si>
    <t>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t>
  </si>
  <si>
    <t>Actualización del licenciamiento del software ArcGIS sobre el cual, opera el sistema de información Geográfica de la UENAA</t>
  </si>
  <si>
    <t>GAA0793</t>
  </si>
  <si>
    <t>FR-300-GAA-0246-2022</t>
  </si>
  <si>
    <t>Suministro de elementos de ferreteria</t>
  </si>
  <si>
    <t>0570</t>
  </si>
  <si>
    <t>GAA0746</t>
  </si>
  <si>
    <t>FR-300-GAA-0245-2022</t>
  </si>
  <si>
    <t>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t>
  </si>
  <si>
    <t>0571</t>
  </si>
  <si>
    <t>Actualizaciónpor un (1) año de la licencia de Infowater a través de la cual opera el Modelo de Simulación Hidráulica de Acueducto en el Centro de Control Maestro de la UENNA</t>
  </si>
  <si>
    <r>
      <t xml:space="preserve">Suministro de rejillas concreto reforzado para el mantenimiento de las redes de alcantarillado operadas por EMCALI </t>
    </r>
    <r>
      <rPr>
        <sz val="12"/>
        <color theme="1"/>
        <rFont val="Calibri"/>
        <family val="2"/>
        <scheme val="minor"/>
      </rPr>
      <t>+</t>
    </r>
    <r>
      <rPr>
        <sz val="11"/>
        <color theme="1"/>
        <rFont val="Calibri"/>
        <family val="2"/>
        <scheme val="minor"/>
      </rPr>
      <t xml:space="preserve"> Suministro de rejillas para sumideros en polimero de 8 huecos</t>
    </r>
  </si>
  <si>
    <t>31 de diciembre 2028</t>
  </si>
  <si>
    <t>12 de octubre en elaboracion de la fpa y cc y esperando la modificacion de la ficha de requerimiento
29 DE OCTUBRE EN REVISION DE LA FPA 
2 de noviembre en revision de lq cc en la Gae
9 de Noviembre en estructuracion de la CC con juridica
17 DE DICIEMBRE SE RECIBEN OFERTAS EL 23 DE DICIEMBRE
18 DE ENERO SE AMPLIA LA SUSPENCION HASTA EL 28 DE FEBRERO
23 de marzo pendiente de las modificacions del area
31 DE MARZO SE ADENDA PARA RECIBIR OFERTAS EL 18 DE ABRIL20 DE ABRIL SE RECEOBEN OFERTAS EL 27 DE ABRIL
5 DE MAYO EN RECEPCION DE SUBSANABLES
17 de mayo en evaluacion sobre 2
24 DE MAYO EVALUACION SOBRE 2
9 de junio en adjudicacion y revision de minuta.
17 DE JUNIO A LA ESPERA DEL NIT DEL CONSORCIO
30 DE JUNIO RESPONDIENDO LO DE LAS MINUTAS
18 de julio esperando firma del gerene general de la minuta
1 de agosto en aprobacion de polizas. 5 DE AGOSTO PENDIENTE DEL PAGO DE LAS POLIZAS POR PARTE DEL PROVEEDOR</t>
  </si>
  <si>
    <t>ago</t>
  </si>
  <si>
    <t>500-CS-2039-2022</t>
  </si>
  <si>
    <t>UNION TEMPORAL AMI</t>
  </si>
  <si>
    <t>300-AO-2116-2022</t>
  </si>
  <si>
    <t>UNION TEMPORAL MANTENIMIENTO  EBAR 2022</t>
  </si>
  <si>
    <t>400-AO1962-2022</t>
  </si>
  <si>
    <t>ZTE  CORPORATION SUCURSAL COLOMBIA</t>
  </si>
  <si>
    <t>300-AO-2096-2022</t>
  </si>
  <si>
    <t>CABARCO INGENIERIA SAS</t>
  </si>
  <si>
    <t>300-AO-2048-2022</t>
  </si>
  <si>
    <t>SIEMENS  SAS</t>
  </si>
  <si>
    <t>TENJO</t>
  </si>
  <si>
    <t>CUNDINAMARCA</t>
  </si>
  <si>
    <t>300-AO-2089-2022</t>
  </si>
  <si>
    <t>IMATIC INGENIERIA SAS</t>
  </si>
  <si>
    <t>800-AO-2146-2022</t>
  </si>
  <si>
    <t>28 DE NOVIEMBRE 2024</t>
  </si>
  <si>
    <t>108-202200002</t>
  </si>
  <si>
    <t>12 DE MAYO EN SOLICTUD DE CONCEPTOS
17 de mayo en elaboracion de fpa y cc
24 DE MAYO EN REVISION EN JURIDICA
9 DE JUNIO EN RESPUESTAS A OBSERVACIONES
30 DE JUNIO EN SOLICITUD DE SUBSANABLES
JULIO 18 PARA COMITÉ SOBRE 1
1 DE AGOSTO EN EVALUACION SOBRE 2. 5 DE AGOSTO EN ADJUDICACION.
29 de agosto enviado al area</t>
  </si>
  <si>
    <t>300-PS-2179-2022</t>
  </si>
  <si>
    <t>300-AO-2164-2022</t>
  </si>
  <si>
    <t>300-AO-2160-2022</t>
  </si>
  <si>
    <t>UNION TEMPORAL VALAC 2022</t>
  </si>
  <si>
    <t>300-AO-2074-2022</t>
  </si>
  <si>
    <t>METALMECANICA SAS</t>
  </si>
  <si>
    <t>500-AO-2093-2022</t>
  </si>
  <si>
    <t>LABORATORIO ELECTROMECANICO QTEST SAS</t>
  </si>
  <si>
    <t>ENVIGADO</t>
  </si>
  <si>
    <t>300-AO-2119-2022</t>
  </si>
  <si>
    <t>QUIMICONTROL SAS</t>
  </si>
  <si>
    <t>300-AO-2050-2022</t>
  </si>
  <si>
    <t>ANALITICA Y REDES SAS</t>
  </si>
  <si>
    <t>CONTRATO DE MERGENCIA</t>
  </si>
  <si>
    <t>SP5 SA</t>
  </si>
  <si>
    <t>30 DIAS</t>
  </si>
  <si>
    <t>300-AO-2054-2022</t>
  </si>
  <si>
    <t>CANDELARIA</t>
  </si>
  <si>
    <t>200-AO-2077-2022</t>
  </si>
  <si>
    <t>OPTIMAL THECNOLOGY SAS</t>
  </si>
  <si>
    <t>500-AO-2208-2022</t>
  </si>
  <si>
    <t>QTEST SAS</t>
  </si>
  <si>
    <t>300-AO-2043-2022</t>
  </si>
  <si>
    <t>B&amp;V INGENIERIA</t>
  </si>
  <si>
    <t>200-AO-2215-2022</t>
  </si>
  <si>
    <t>800-AO-2092-2022</t>
  </si>
  <si>
    <t>1 DE AGOSTO EN RECEPCION DE OFERTAS
18 de agosto en recepcion de ofertas</t>
  </si>
  <si>
    <t>800-AO-2155-2022</t>
  </si>
  <si>
    <t>DISPAPELES SAS</t>
  </si>
  <si>
    <t>CMA-1913-2021-800-AO-2079-2022</t>
  </si>
  <si>
    <t>16 de enero 2023</t>
  </si>
  <si>
    <t>2 DE AGOSTO EN REVISION DE LA FPA  4 DE AGOSTO EN RECEPCION DE OFERTAS Y REASIGNADO A ANA MARIA GIL 5 DE AGOSTO EN INVITACION A OFERTAR
18 de agosto en aceptacion de la oferta.</t>
  </si>
  <si>
    <t>800-AO-2161-2022</t>
  </si>
  <si>
    <t>CRUZ ROJA COLOMBIANA SECCIONAL VALLE DEL CAUCA</t>
  </si>
  <si>
    <t>300-CMA-1245-2020/300-AO-2087-2022</t>
  </si>
  <si>
    <t>500-AO-2113-2022</t>
  </si>
  <si>
    <t>NEW PRO SAS</t>
  </si>
  <si>
    <t>45 DIAS</t>
  </si>
  <si>
    <t>300-AO-2103-2022</t>
  </si>
  <si>
    <t>STEWART &amp; STEVENSON DE LAS AMERICAS COLOMBIA LTDA</t>
  </si>
  <si>
    <t>300-CMA-1974-2020/300-AO-2199-2022
300-CMA-2200-2020/300-AO-2199-2022</t>
  </si>
  <si>
    <t>EQUIPO Y HERRAMIENTAS INDUSTRIALES</t>
  </si>
  <si>
    <t>202207907
202207902</t>
  </si>
  <si>
    <t>300-AO-2102-2022</t>
  </si>
  <si>
    <t>TECNODIESEL SAS</t>
  </si>
  <si>
    <t>28 de noviembre 2022</t>
  </si>
  <si>
    <t>200-AO-2186-2022</t>
  </si>
  <si>
    <t>ENTELGY COLOMBIA  SAS</t>
  </si>
  <si>
    <t>500-AO-2091-2022</t>
  </si>
  <si>
    <t>DIGITRON LIMITADA</t>
  </si>
  <si>
    <t>500-AO-2081-2022
500-AO-2198-2022</t>
  </si>
  <si>
    <t>03/08/2022
27/08/2022</t>
  </si>
  <si>
    <t>INELCA SAS
RYMEL  INGENIERIA ELECTRICA SAS</t>
  </si>
  <si>
    <t>500-AO-2104-2022</t>
  </si>
  <si>
    <t>SUMINISTROS Y SERICIOS TECNICOS SOCIEDAD POR ACCIONES SIMPLIFIADA</t>
  </si>
  <si>
    <t>300-AO-2097-2022</t>
  </si>
  <si>
    <t>MULTISERVICIOS CAÑAMIEL  SAS</t>
  </si>
  <si>
    <t>4,5 MESES</t>
  </si>
  <si>
    <t>400-AO-2156-2022</t>
  </si>
  <si>
    <t>COMERCIALIZADORA DE BIENES Y SERVICIOS SOLUCIONAMOS SAS</t>
  </si>
  <si>
    <t>900-IP-484-2022</t>
  </si>
  <si>
    <t>300-AO-2210-2022</t>
  </si>
  <si>
    <t>LINEADATASCAN SA</t>
  </si>
  <si>
    <t>900-IP-0487-2022</t>
  </si>
  <si>
    <t>300-AO-2201-2022</t>
  </si>
  <si>
    <t>900-IP-0489-2022</t>
  </si>
  <si>
    <t>500-AO-2184-2022</t>
  </si>
  <si>
    <t>NUEVO DIAIRO DE OCCIDENTE  SAS</t>
  </si>
  <si>
    <t>0512</t>
  </si>
  <si>
    <t>GAA0784</t>
  </si>
  <si>
    <t>FR-300-GAA-0222-2022</t>
  </si>
  <si>
    <t>Construcción camara en concreto reforzado barrio Lourdes</t>
  </si>
  <si>
    <t>70 DIAS</t>
  </si>
  <si>
    <t>900-IP-0512-2022</t>
  </si>
  <si>
    <t>300-AO-2212-2022</t>
  </si>
  <si>
    <t>GAA0783</t>
  </si>
  <si>
    <t>FR-300-GAA-0223-2022</t>
  </si>
  <si>
    <t>Reposición redes de Acueducto y Alcantarillado Comunas 1, 18 y 20 y reposición Acueducto barrio Manzanares</t>
  </si>
  <si>
    <t>900-IP-0513-2022</t>
  </si>
  <si>
    <t>300-AO-2209-2022</t>
  </si>
  <si>
    <t>ICONSA INGENIEROS  CONSTRUCTORES ASOCIADOS LTDA</t>
  </si>
  <si>
    <t>0515</t>
  </si>
  <si>
    <t>900-IP-0515-2022</t>
  </si>
  <si>
    <t>300-AO-2194-2022</t>
  </si>
  <si>
    <t>MUNDIAL DE FILTROS</t>
  </si>
  <si>
    <t>0528</t>
  </si>
  <si>
    <t>GAA0177</t>
  </si>
  <si>
    <t>FR-300-GAA-0224-2022</t>
  </si>
  <si>
    <t>Obras prioritarias, protección y seguridad - linea aducción descarga Río Cali</t>
  </si>
  <si>
    <t>900-IP-0528-2022</t>
  </si>
  <si>
    <t>900-IP-0112-2022</t>
  </si>
  <si>
    <t>900-IP-0120-2022</t>
  </si>
  <si>
    <t>900-IP-0127-2022</t>
  </si>
  <si>
    <t>900-IP-0349-2022</t>
  </si>
  <si>
    <t>900-IP-0454-2022</t>
  </si>
  <si>
    <t>900-IPU-0277-2022</t>
  </si>
  <si>
    <t>900-IP-0332-2022</t>
  </si>
  <si>
    <t>500-AO-1948-2022</t>
  </si>
  <si>
    <t xml:space="preserve"> SUMINISTROS Y SERVICIOS TECNICOS S.A.S - S&amp;ST S.A.S</t>
  </si>
  <si>
    <t>Se solicitó visita técnica a las instalaciones (7)</t>
  </si>
  <si>
    <t>CMA-1974-2020-300-AO-1943-2022</t>
  </si>
  <si>
    <t>Equipos y Herramientas Industriales SAS</t>
  </si>
  <si>
    <t>900-IP-0890-2022</t>
  </si>
  <si>
    <t>Inteligencia de Mercado (26)</t>
  </si>
  <si>
    <t>Inteligencia de Mercado (26), retrotraido (20)</t>
  </si>
  <si>
    <t>Inteligencia de Mercado (26), retrotraido (28)</t>
  </si>
  <si>
    <t>Inteligencia de Mercado (26), Suspensión 1, 2 y 3 (76), creacoón proveedor RUT (10), revisión contrato por parte del proveedor (21), entrega de pólizas (10)</t>
  </si>
  <si>
    <t>Inteligencia de Mercado (26), entrega pólizas (8)</t>
  </si>
  <si>
    <t>Del 15 al 21 de junio se modifica la solicitud de pólizas (4), expedición RPC (4), entrega de pólizas por parte de proveedor (6), apronación de pólizas (4)</t>
  </si>
  <si>
    <t>Registro del proveedor (5), apronacuón de pólizas (4)</t>
  </si>
  <si>
    <t>Registro del proveedor (5), apronacuón de pólizas (8), demora en la cotización por TRM (5), corección ficha requerimiento en el ppto (2), aprobación de pólizas (5)</t>
  </si>
  <si>
    <t>Entrega de pólizas por parte del proveedor (4), aprobación pólizas (3)</t>
  </si>
  <si>
    <t>Por ley de garantías inicia el 22 de junio (6), validación información técnica por el área (11)</t>
  </si>
  <si>
    <t>Emisipon RPC (5)</t>
  </si>
  <si>
    <t>900-IP-0479-2022</t>
  </si>
  <si>
    <t>Inicia el 22 de junio por Ley de garantías (6)</t>
  </si>
  <si>
    <t>Entrega de pólizas por parte delproveedor (8)</t>
  </si>
  <si>
    <t>Entrega pólizaso por parte del proveedor (5)</t>
  </si>
  <si>
    <t xml:space="preserve">18 de julio en elaboracion de la fpa
2 DE AGOSTO EN EVALUACION DE SUBSANBLES
ACTA DE TERMINACION ANTICIPADA </t>
  </si>
  <si>
    <t>1 DE AGOSTO EN ELABORACION DE LA FPA Y CC
28 D ESEPTIEMBRE PENDIENTE DE ACTA DE CIERRRE EN JURIDICA</t>
  </si>
  <si>
    <t>900-IP-0490-2022</t>
  </si>
  <si>
    <t>0573</t>
  </si>
  <si>
    <t>GTI0201</t>
  </si>
  <si>
    <t>FR-200-GTI-0121-2022</t>
  </si>
  <si>
    <t>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t>
  </si>
  <si>
    <t>900-IP-0573-2022</t>
  </si>
  <si>
    <t>SE CIERRA PORQUE ES INADMISIBLE LA PROPUESTA</t>
  </si>
  <si>
    <t>18 de julio en cotizaciones
2 agosto en solicitud de cotizaciones 4 DE AGOSTO REASIGNADO A ANA MARIA GIL
28 DE SEPTIEMBRE DEVUELTO AL AREA</t>
  </si>
  <si>
    <t>900-IP-0430-2022</t>
  </si>
  <si>
    <t xml:space="preserve">2 DE AGOSTO SE ASIGNARA A OTRO GESTOR 4 DE AGOSTO REASIGNADO A ANA MARIA GIL Y SE ENCUENTRA EN SOLICITUD DE CONCEPTOS
18 de agosto en espra de informacion por parte del area para modificar cantidades porque las cotizacion rebasaron el presupuesto
</t>
  </si>
  <si>
    <t>900-IP-0539-2022</t>
  </si>
  <si>
    <t>900-IP-0549-2022</t>
  </si>
  <si>
    <t>5 DE MAYO A LA ESPERA DE LA REUNION DEL GERENTE DE ACUEDUCTO CON HACIENDA PARA DAR CONTINUIDAD. ESTE PROCESO LO TENIA VIAGNERY LOPEZ
17 de mayo esperando info del area
9 de junio en elaboracion de fpa y cc
17 DE JUNIO ESPERANDO INFORMACION DEL AREA
18 DE JULIO ES UN PRECALIFICADO Y SE ESTA CONSTRUYENDO
29 de julio publicado
28 DE SEPTIEMBRE EN EVALUACION SIBRE 1</t>
  </si>
  <si>
    <t>14 de julio en cotizaciones. 8 DE AGOSTO SE RECIBE LA OFERTA
28 DE SEPTIEMBRE EN EVALUACION DE LA OFERTA</t>
  </si>
  <si>
    <t>2 de agosto en elaboracion de la fpa e invitacion. tODAS LAS COTIZACIONES HAN ESTADO POR ENCIMA DEL VALOR DEL PRESUPUESTO, NO SE HA LOGRADO LLEGAR A ACUERDOS.
28 DE SEPTIEMBRE PENDIENE EL REGISTRO PRESUPUESTAL</t>
  </si>
  <si>
    <t>28 DE SEPTIMEBRE EN SOLICITUD DE POLIZAS</t>
  </si>
  <si>
    <t>900-IP-395-2022</t>
  </si>
  <si>
    <t>28 DE SEPTIEMBRE EN SOLCIITUD DE POLIZAS</t>
  </si>
  <si>
    <t>28 DE SEPTIEMBRE EN EVALUACION</t>
  </si>
  <si>
    <t>1 DE AGOSTO EN ELABORACION DE LA CC
3 de agosto para revision de la fpa por parte de silvia
18 de agosto en recepcion de ofertas
28 DE SEPTIEMBRE EN EVALUACION SOBRE 1</t>
  </si>
  <si>
    <t>18 de julio en solicitud de conceptos
2 de agosto se va a reasignar el proceso A OTRO GESTOR DE AGOSTO ASIGNADO A PAOLA Y ESPERANDO AJUSTES DE LAS ESPECIFICACIONES TECNICAS Y FR
28 DE SEPTIEMBRE SOLICITUD DE POLIZAS</t>
  </si>
  <si>
    <t>3 de agosto reasignado a laura pimienta
28 DE SEPTIEMBRE EN SOLICITUD DE POLIZAS POR PARTE DEL PROVEEDOR</t>
  </si>
  <si>
    <t>3 DE AGOSTO EN ESPERA DE LA COTIZACION DE LA SUB
28 DE SPETIEMBRE A LA ESPERA DE LAS POLIZAS</t>
  </si>
  <si>
    <t>900-IPU-0441-2022</t>
  </si>
  <si>
    <t>900-IPU-0443-2022</t>
  </si>
  <si>
    <t>28 DE SEPTIEMBRE EN ACEPTACION DE OFERTA</t>
  </si>
  <si>
    <t>900-IP-0483-2022</t>
  </si>
  <si>
    <t>28 DE SEPTIEMBRE EN SOLICITUD DE POLIZAS</t>
  </si>
  <si>
    <t>900-IPU-0493-2022</t>
  </si>
  <si>
    <t>28 DE SEPTIEMBRE 2022 EN EVALUACION SOBRE 1</t>
  </si>
  <si>
    <t>900-IP-0503-2022</t>
  </si>
  <si>
    <t>28 DE SEPTIEMBRE SOLICITUD DE POLIZAS</t>
  </si>
  <si>
    <t>900-IP-0504-2022</t>
  </si>
  <si>
    <t>900-IP-0505-2022</t>
  </si>
  <si>
    <t>900-IPU-0506-2022</t>
  </si>
  <si>
    <t>900-IP-510-2022</t>
  </si>
  <si>
    <t>900-IP-0518-2022</t>
  </si>
  <si>
    <t>900-IP-0520-2022</t>
  </si>
  <si>
    <t>900-IP-0522-2022</t>
  </si>
  <si>
    <t>900-IP-0523-2022</t>
  </si>
  <si>
    <t>900-IP-524-2022</t>
  </si>
  <si>
    <t>D</t>
  </si>
  <si>
    <t>900-IP-526-2022</t>
  </si>
  <si>
    <t>900-IP-527-2022</t>
  </si>
  <si>
    <t>900-IP-0532-2022</t>
  </si>
  <si>
    <t>28 DE SEPTIEMBRE EN POLIZAS</t>
  </si>
  <si>
    <t>900-IP-0534-2022</t>
  </si>
  <si>
    <t>28 DE SEPTIEMBRE EN ACEPTACION DE LA OFERTA</t>
  </si>
  <si>
    <t>900-IP-0536-2022</t>
  </si>
  <si>
    <t>900-IPU-0537-2022</t>
  </si>
  <si>
    <t>900-IP-0540-2022</t>
  </si>
  <si>
    <t>900-IP-0544-2022</t>
  </si>
  <si>
    <t>28 DE SEPTIMEBRE EN ESPERA DE LAS POLIZAS POR PARTE DEL PROVEEDOR</t>
  </si>
  <si>
    <t>900-IP-0545-2022</t>
  </si>
  <si>
    <t>900-IPU-547-2022</t>
  </si>
  <si>
    <t>900-IPU-548-2022</t>
  </si>
  <si>
    <t>900-IP-0550-2022</t>
  </si>
  <si>
    <t>900-IP-551-2022</t>
  </si>
  <si>
    <t>28 DE SEPTIEMBRE EN ELABORACIONDE FPA E INVITACION</t>
  </si>
  <si>
    <t>900-IP-0552-2022</t>
  </si>
  <si>
    <t>900-IP-0553-2022</t>
  </si>
  <si>
    <t>900-IP-0555-2022</t>
  </si>
  <si>
    <t>900-IP-0556-2022</t>
  </si>
  <si>
    <t>900-IP-0557-2022</t>
  </si>
  <si>
    <t>28 DE SEPTIEMBRE EM ELABORACION DE FPA E INVITACION</t>
  </si>
  <si>
    <t>900-IPU-0560-2022</t>
  </si>
  <si>
    <t>900-IP-0567-2022</t>
  </si>
  <si>
    <t>900-IP-0568-2022</t>
  </si>
  <si>
    <t>900-IP-0570-2022</t>
  </si>
  <si>
    <t>900-IP-0477-2022</t>
  </si>
  <si>
    <t>0572</t>
  </si>
  <si>
    <t>900-IP-0572-2022</t>
  </si>
  <si>
    <t>0574</t>
  </si>
  <si>
    <t>GE0365</t>
  </si>
  <si>
    <t>FR-500-GE-0246-2022</t>
  </si>
  <si>
    <t>Suministro de radios digital</t>
  </si>
  <si>
    <t>900-IP-0574-2022</t>
  </si>
  <si>
    <t>0575</t>
  </si>
  <si>
    <t>GAA0129</t>
  </si>
  <si>
    <t>FR-300-GAA-0247-2022</t>
  </si>
  <si>
    <t>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t>
  </si>
  <si>
    <t>0578</t>
  </si>
  <si>
    <t>Realizar la compra de café y azúcar, como elementos de cafeteria necesarios para EMCALI EICE ESP</t>
  </si>
  <si>
    <t>900-IP-0578-2022</t>
  </si>
  <si>
    <t>202204454
202203557
202203531
202203532
202203533</t>
  </si>
  <si>
    <t>27 DE SEPTIEMBRE EN EXPEDICION DE POLIZAS</t>
  </si>
  <si>
    <t>0582</t>
  </si>
  <si>
    <t>GT0245</t>
  </si>
  <si>
    <t>FR-400-GT-0203-2022</t>
  </si>
  <si>
    <t>Suministro de conectores modulares para realizar empalme de conductores de cobre en cables multípares de uso en la red de planta externa requeridos para el mantenimiento de las redes de acceso de la GUENTIC</t>
  </si>
  <si>
    <t>0583</t>
  </si>
  <si>
    <t>Mantenimiento de Plantas de Emergencia de las subestaciones de Energia</t>
  </si>
  <si>
    <t>0584</t>
  </si>
  <si>
    <t>GE0190</t>
  </si>
  <si>
    <t>FR-500-GE-0228-2022</t>
  </si>
  <si>
    <t>Mantenimiento de Gatos Hidraulico marca ENERPAC para 50 toneladas</t>
  </si>
  <si>
    <t>0585</t>
  </si>
  <si>
    <t>GE0385</t>
  </si>
  <si>
    <t>FR-500-GE-0260-2022</t>
  </si>
  <si>
    <t>Mantenimiento de Trailers Móviles</t>
  </si>
  <si>
    <t>0586</t>
  </si>
  <si>
    <t>0587</t>
  </si>
  <si>
    <t>GAA0803</t>
  </si>
  <si>
    <t>FR-300-GAA-0251-2022</t>
  </si>
  <si>
    <t>Realizar la reparación, mantenimiento y puesta en funcionamiento de equipos y componentes críticos en Estaciones de Bombeo de Aguas Lluvias y Residuales para mitigar riesgos en el servicio de bombeo asociados a la variabilidad climática</t>
  </si>
  <si>
    <t>0588</t>
  </si>
  <si>
    <t>GT0235</t>
  </si>
  <si>
    <t>FR-400-GT-0187-2022</t>
  </si>
  <si>
    <t>Compra de equipos terminales (Access Point) para permitir la conectividad de internet a instituciones educativas y demás clientes corporativos que requieran puntos de acceso</t>
  </si>
  <si>
    <t>0589</t>
  </si>
  <si>
    <t>GT0251</t>
  </si>
  <si>
    <t>FR-400-GT-0208-2022</t>
  </si>
  <si>
    <t>Suministro de Terminales Ópticos ONT para la instalación de servicios en los clientes a través de la expansión de proyectos de FTTH (fibra hasta la casa) de EMCALI</t>
  </si>
  <si>
    <t>202203853
202205919</t>
  </si>
  <si>
    <t>GTI0199</t>
  </si>
  <si>
    <t>FR-200-GTI-0117-2022</t>
  </si>
  <si>
    <t>Adquisición de Diademas Binaurales para el Contact Center de la Gerencia Comercial</t>
  </si>
  <si>
    <t>0591</t>
  </si>
  <si>
    <t>GE0358</t>
  </si>
  <si>
    <t>FR-500-GE-0225-2022</t>
  </si>
  <si>
    <t>Prestar servicios de transporte especial terrestre en zona urbana y rural de Santiago de Cali</t>
  </si>
  <si>
    <t>0592</t>
  </si>
  <si>
    <t>202202913
202202886
202202885</t>
  </si>
  <si>
    <t>0593</t>
  </si>
  <si>
    <t>GT0143</t>
  </si>
  <si>
    <t>FR-400-GT-0194-2022</t>
  </si>
  <si>
    <t>Suministro de Repuestos e insumos para equipos de climatización de Telecomunicaciones de EMCALI</t>
  </si>
  <si>
    <t>0594</t>
  </si>
  <si>
    <t>GTI0203</t>
  </si>
  <si>
    <t>FR-200-GTI-0134-2022</t>
  </si>
  <si>
    <t>Mantenimiento correctivo de discos de almacenamiento para el array de discos ubicado en el data center del Centro de Control Maestro UENAA, en el cual se almacena la Geodatabase (base de datos) del Sistema de Información Geográfica (SIG)</t>
  </si>
  <si>
    <t>0595</t>
  </si>
  <si>
    <t>GAA0804</t>
  </si>
  <si>
    <t>FR-300-GAA-0254-2022</t>
  </si>
  <si>
    <t>Suministro de herramientas especializadas para la Unidad de Mantenimiento</t>
  </si>
  <si>
    <t>202205992
202205993</t>
  </si>
  <si>
    <t>500-AO-2198-2022</t>
  </si>
  <si>
    <t>RYMEL  INGENIERIA ELECTRICA SAS</t>
  </si>
  <si>
    <t>300-AO-2217-2022</t>
  </si>
  <si>
    <t>UNION TEMPORAL OVERHAUL 2022</t>
  </si>
  <si>
    <t>800-AO-2034-2022</t>
  </si>
  <si>
    <t>VICKBAY SAS</t>
  </si>
  <si>
    <t>300-AO-2173-2022</t>
  </si>
  <si>
    <t xml:space="preserve">PAYAN Y CIA LTDA </t>
  </si>
  <si>
    <t>300-AO-2172-2022</t>
  </si>
  <si>
    <t>300-AO-2171-2022</t>
  </si>
  <si>
    <t>300-AO-2174-2022</t>
  </si>
  <si>
    <t>300-AO-2114-2022</t>
  </si>
  <si>
    <t>CONSORCIOS ACUEDUCTOS DEL VALLE</t>
  </si>
  <si>
    <t>800-CMA-1916-2021/800-AO-2259-2022</t>
  </si>
  <si>
    <t xml:space="preserve">CMA-1925-2021-800-AO-2261-2022 </t>
  </si>
  <si>
    <t>800-CMA-1913-2021/800-AO-2250-2022</t>
  </si>
  <si>
    <t>300-AO-2175-2022</t>
  </si>
  <si>
    <t>900-IP-0316-2022</t>
  </si>
  <si>
    <t>400-AO-2256-2022</t>
  </si>
  <si>
    <t>ITT SUPPLIES SAS</t>
  </si>
  <si>
    <t>300-AO-2288-2022</t>
  </si>
  <si>
    <t>INGENIERIA ARANGO ANGEL SAS</t>
  </si>
  <si>
    <t>30 DE NOVIEMBRE 2023</t>
  </si>
  <si>
    <t>800-CS-2216-2022</t>
  </si>
  <si>
    <t>ACCESORIOS Y SISTEMAS SA EN REORGANIZACION</t>
  </si>
  <si>
    <t>112 DIAS</t>
  </si>
  <si>
    <t>800-CMA-1914-2021/800-AO-2251-2022</t>
  </si>
  <si>
    <t>Unión Temporal M&amp;C2021</t>
  </si>
  <si>
    <t>365 DIAS</t>
  </si>
  <si>
    <t>300-AO-2187-2022</t>
  </si>
  <si>
    <t>DIEGO MAURICIO ESTRADA CHAVEZ</t>
  </si>
  <si>
    <t>100-AO-2222-2022</t>
  </si>
  <si>
    <t>DELOITTE ASESORES Y CONSULTORES LTDA</t>
  </si>
  <si>
    <t>300-AO-2101-2022</t>
  </si>
  <si>
    <t>DATUM INGENIERIA SAS</t>
  </si>
  <si>
    <t>300-AO-228-2022</t>
  </si>
  <si>
    <t>LAB INSTRUMENTS SAS</t>
  </si>
  <si>
    <t>900-IP-0362-2022</t>
  </si>
  <si>
    <t>400-AO-2024-2022</t>
  </si>
  <si>
    <t>HIDROPURA SAS</t>
  </si>
  <si>
    <t>300-AO-2339-2022</t>
  </si>
  <si>
    <t>400-AO-2178-2022</t>
  </si>
  <si>
    <t>RENTAMETRIC COLOMBIA SAS</t>
  </si>
  <si>
    <t>500-AO-2248-2022</t>
  </si>
  <si>
    <t>POTENCIAS Y TECNOLOGIAS INCORPORADAS SA</t>
  </si>
  <si>
    <t>900-IP-0387-2022</t>
  </si>
  <si>
    <t>300-AO-2281-2022</t>
  </si>
  <si>
    <t>300-AO-2337-2022</t>
  </si>
  <si>
    <t>VLADIMIR ROMERO SERVICIOS DE INGENIERIA SAS</t>
  </si>
  <si>
    <t>300-AO-2078-2022</t>
  </si>
  <si>
    <t>QUIMPORT LIMITADA</t>
  </si>
  <si>
    <t>300-AO-2223-2022</t>
  </si>
  <si>
    <t>AQUALAB SAS</t>
  </si>
  <si>
    <t>300-AO-2273-2022</t>
  </si>
  <si>
    <t>SERCO  SERVICIO Y SUMINISTRO QUIMICOS LTDA</t>
  </si>
  <si>
    <t>300-AO-2253-2022</t>
  </si>
  <si>
    <t>PLASTYCONS SAS</t>
  </si>
  <si>
    <t>900-IP-0401-2022</t>
  </si>
  <si>
    <t>300-AO-2292-2022</t>
  </si>
  <si>
    <t>FABIAN ANDRES ARAGON LOPEZ</t>
  </si>
  <si>
    <t>400-AO-2367-2022</t>
  </si>
  <si>
    <t>LATIC SAS</t>
  </si>
  <si>
    <t>28 DE NOVIEMBRE DE 2022</t>
  </si>
  <si>
    <t>400-AO-2249-2022</t>
  </si>
  <si>
    <t>MATRIX TELCOM LTDA</t>
  </si>
  <si>
    <t>1 de agosto en solciitud de conceptos
28 DE SEPTIEMBRE 2022 APROBACION DE POLIZAS</t>
  </si>
  <si>
    <t>300-AO-2340-2022</t>
  </si>
  <si>
    <t>NOVATEC FLUID SYSTEM SA</t>
  </si>
  <si>
    <t>31 DE MARZO 2023</t>
  </si>
  <si>
    <t>300-CMA-1241-2020/300-AO-2145-2022</t>
  </si>
  <si>
    <t>800-AO-2283-2022</t>
  </si>
  <si>
    <t>300-AO-2221-2022</t>
  </si>
  <si>
    <t>PROFINAS SOCIEDAD POR ACCIONES SIMPLIFICADA</t>
  </si>
  <si>
    <t>500-AO-2297-2022</t>
  </si>
  <si>
    <t>28 DE DICIEMBRE 2022</t>
  </si>
  <si>
    <t>200-AO-2271-2022</t>
  </si>
  <si>
    <t>OPEN INTERNTIONAL SAS</t>
  </si>
  <si>
    <t>2 MESES</t>
  </si>
  <si>
    <t>300-AO-2282-2022</t>
  </si>
  <si>
    <t>500-AO-2322-2022</t>
  </si>
  <si>
    <t>300-AO-2241-2022</t>
  </si>
  <si>
    <t>WEIGHING SYSTEMS SOLUTIONS WSS LTDA</t>
  </si>
  <si>
    <t>300-AO-2296-2022</t>
  </si>
  <si>
    <t>AG CONSULTORES AMBIENTALES SAS</t>
  </si>
  <si>
    <t>28DE NOVIEMBRE 2022</t>
  </si>
  <si>
    <t>900-IP-0431-2022</t>
  </si>
  <si>
    <t>800-AO-2321-2022</t>
  </si>
  <si>
    <t>SERVICIOS TECNICOS DE INGENIERIA LTDA SETINGE LTDA</t>
  </si>
  <si>
    <t>500-CMA-1743-2021/500-AO-2207-2022</t>
  </si>
  <si>
    <t>300-AO-2240-2022</t>
  </si>
  <si>
    <t>800-CMA-1914-2021/800-AO-2258-2022</t>
  </si>
  <si>
    <t>MAURICIO TABARES OSSA</t>
  </si>
  <si>
    <t>800-CMA-1914-2021/800-AO-2260-2022</t>
  </si>
  <si>
    <t xml:space="preserve"> Unión Temporal M&amp;C2021</t>
  </si>
  <si>
    <t>400-AO-2245-2022</t>
  </si>
  <si>
    <t>MAICROTEL SAS</t>
  </si>
  <si>
    <t>400-AO-2295-2022</t>
  </si>
  <si>
    <t>MUNDIAL DE FILTROS Y ACEITES SAS</t>
  </si>
  <si>
    <t>300-AO-2214-2022</t>
  </si>
  <si>
    <t>VOLUMED SAS</t>
  </si>
  <si>
    <t>300-AO-2341-2022</t>
  </si>
  <si>
    <t>COMACON APLICACIONES SAS</t>
  </si>
  <si>
    <t>900-IP-0471-2022</t>
  </si>
  <si>
    <t>300-AO-2225-2022</t>
  </si>
  <si>
    <t>900-IP-0473-2022</t>
  </si>
  <si>
    <t>300-AO-2293-2022</t>
  </si>
  <si>
    <t>METROLOGIC COLOMBIA SAS</t>
  </si>
  <si>
    <t>800-AO-2275-2022</t>
  </si>
  <si>
    <t>900-IP-0485-2022</t>
  </si>
  <si>
    <t>400-AO-2246-2022</t>
  </si>
  <si>
    <t>28 DE  NOVIEMBRE 2022</t>
  </si>
  <si>
    <t>900-IP-0486-2022</t>
  </si>
  <si>
    <t>300-AO-2280-2022</t>
  </si>
  <si>
    <t>700-AO-2276-2022</t>
  </si>
  <si>
    <t>SINERJOY BPO SAS</t>
  </si>
  <si>
    <t>500-AO-2369-2022</t>
  </si>
  <si>
    <t>compañía  DE PARTES Y ACCESORIOS SAS</t>
  </si>
  <si>
    <t>900-IP-0494-2022</t>
  </si>
  <si>
    <t>300-AO-2252-2022</t>
  </si>
  <si>
    <t>DESARROLLO DE SISTEMAS DE CONTROL SOCIEDAD POR ACCIONES  SIMPLIFICADA</t>
  </si>
  <si>
    <t>900-IP-0495-2022</t>
  </si>
  <si>
    <t>800-AO-2226-2022</t>
  </si>
  <si>
    <t>AUTOPACIFICO  SA</t>
  </si>
  <si>
    <t>300-CMA-1974-2020/300-AO-2204-2022
300-CMA-1974-2020/300-AO-2205-2022</t>
  </si>
  <si>
    <t>900-IP-0497-2022</t>
  </si>
  <si>
    <t>300-AO-2320-2022</t>
  </si>
  <si>
    <t>FERRRETERIA SU PROVEEDOR SAS</t>
  </si>
  <si>
    <t>900-IP-0218-2022</t>
  </si>
  <si>
    <t>300-AO-2381-2022</t>
  </si>
  <si>
    <t>ENSAYOS DE APTITUD Y METROLOGIA DE COLOMBIA SAS</t>
  </si>
  <si>
    <t>300-CMA-1974-2020/300-AO-2242-2022
300-CMA-1974-2020/300-AO-2242-2022</t>
  </si>
  <si>
    <t>EQUIPOS Y HERRAMIENTAS INDUSTRIALES</t>
  </si>
  <si>
    <t>800-CMA-1914-2021/800-AO-2331-2022</t>
  </si>
  <si>
    <t>900-IP-0501-2022</t>
  </si>
  <si>
    <t>800-AO-2343-2022</t>
  </si>
  <si>
    <t>900-IP-0507-2022</t>
  </si>
  <si>
    <t>300-AO-2370-2022</t>
  </si>
  <si>
    <t>LACC INGENIERA SAS</t>
  </si>
  <si>
    <t>800-CMA-1925-2021/800-AO-2334-2022</t>
  </si>
  <si>
    <t>900-IP-0509-2022</t>
  </si>
  <si>
    <t>300-AO-2262-2022</t>
  </si>
  <si>
    <t>FERNANDO CAICEDO SUAREZ</t>
  </si>
  <si>
    <t>900-IP-0511-2022</t>
  </si>
  <si>
    <t>500-AO-2255-2022</t>
  </si>
  <si>
    <t xml:space="preserve">POTENCIAS Y TECNOLOGIAS INCORPORADAS SA </t>
  </si>
  <si>
    <t>900-IP-0514-2022</t>
  </si>
  <si>
    <t>400-AO-2364-2022</t>
  </si>
  <si>
    <t>BOYRA SA</t>
  </si>
  <si>
    <t>CMA-1743-2021/500-AO-2237-2022</t>
  </si>
  <si>
    <t>CABLES DE ENERGIA Y TELECOMUNICACIONES SAS</t>
  </si>
  <si>
    <t>300-AO-2244-2022</t>
  </si>
  <si>
    <t>DDM INGENIERIA SAS</t>
  </si>
  <si>
    <t>PALMIRA</t>
  </si>
  <si>
    <t>900-IP-0530-2022</t>
  </si>
  <si>
    <t>AMPARO RENGIFO</t>
  </si>
  <si>
    <t>800-AO-2373-2022</t>
  </si>
  <si>
    <t>GRABOMETAL PREMIACIONES SAS</t>
  </si>
  <si>
    <t>900-IP-0531-2022</t>
  </si>
  <si>
    <t>800-AO-2324-2022</t>
  </si>
  <si>
    <t>ALEJANDRO REYES JIMENEZ</t>
  </si>
  <si>
    <t>900-IP-0535-2022</t>
  </si>
  <si>
    <t>300-AO-2274-2022</t>
  </si>
  <si>
    <t>ENRIQUE LOURIDO CAICEDO EN REORGANIZACION</t>
  </si>
  <si>
    <t>900-IP-0541-2022</t>
  </si>
  <si>
    <t>300-AO-2373-2022</t>
  </si>
  <si>
    <t>JAIME ANTONIO BASTIDAS OSORIO</t>
  </si>
  <si>
    <t>31 DE DICIEBRE 2022</t>
  </si>
  <si>
    <t>900-IP-0546-2022</t>
  </si>
  <si>
    <t>400-AO-2347-2022</t>
  </si>
  <si>
    <t>CARLOS HERNEY ARCINIEGAS</t>
  </si>
  <si>
    <t>900-IP-0554-2022</t>
  </si>
  <si>
    <t>300-AO-2272-2022</t>
  </si>
  <si>
    <t>CALABASTOS SAS</t>
  </si>
  <si>
    <t>VIJES</t>
  </si>
  <si>
    <t>800-CMA-1914-2021/800-AO-2332-2022</t>
  </si>
  <si>
    <t>LOCA</t>
  </si>
  <si>
    <t>900-IP-0562-2022</t>
  </si>
  <si>
    <t>300-AO-2291-2022</t>
  </si>
  <si>
    <t>300-AO-2289-2022</t>
  </si>
  <si>
    <t>EQUIPOSY HERRAMIENTAS INDUSTRIALES SAS</t>
  </si>
  <si>
    <t>900-IP-0564-2022</t>
  </si>
  <si>
    <t>300-AO-2294-2022</t>
  </si>
  <si>
    <t>900-IP-0565-2022</t>
  </si>
  <si>
    <t>300-AO-2290-2022</t>
  </si>
  <si>
    <t xml:space="preserve">ALVARO LAZARO DEL VALLE </t>
  </si>
  <si>
    <t>300-CMA-1974-2020/800-AO-2328-2022</t>
  </si>
  <si>
    <t>0576</t>
  </si>
  <si>
    <t>GTI0198</t>
  </si>
  <si>
    <t>FR-200-GTI-0118-2022</t>
  </si>
  <si>
    <t>Servicio en Nube de escritorios remotos mensualizado para equipos de computo, que fortalezcan el desarrollo de las actividades de PQRS Y CALL CENTER solicitada por la Gerencia de Comerciales</t>
  </si>
  <si>
    <t>900-IP-0533-2021</t>
  </si>
  <si>
    <t>200-AO-2375-2022</t>
  </si>
  <si>
    <t>SOLUCIONES DE TECNOLOGIA E INGENIERIA SAS</t>
  </si>
  <si>
    <t>0577</t>
  </si>
  <si>
    <t>GHA0249</t>
  </si>
  <si>
    <t>FR-800-GHA-0198-2022</t>
  </si>
  <si>
    <t>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t>
  </si>
  <si>
    <t>CMA-1916-2021-800-AO-2333-2022</t>
  </si>
  <si>
    <t>0579</t>
  </si>
  <si>
    <t>900-IP-0579-2022</t>
  </si>
  <si>
    <t>500-AO-2366-2022</t>
  </si>
  <si>
    <t>INPEL SA</t>
  </si>
  <si>
    <t>0580</t>
  </si>
  <si>
    <t>GTI0202</t>
  </si>
  <si>
    <t>FR-200-GTI-0120-2022</t>
  </si>
  <si>
    <t>Adquisición de Librería IBM TS4300 con 6 drives LT07 8 ( con posibilidad de conectar 2 LTO más)</t>
  </si>
  <si>
    <t>900-IP-0580-2022</t>
  </si>
  <si>
    <t>200-AO-2376-2022</t>
  </si>
  <si>
    <t>INTEGRA TIC TECNOLOGIAS DE OPTIMIZACION SAS</t>
  </si>
  <si>
    <r>
      <rPr>
        <sz val="11"/>
        <color theme="1"/>
        <rFont val="Calibri"/>
        <family val="2"/>
        <scheme val="minor"/>
      </rPr>
      <t xml:space="preserve">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t>
    </r>
    <r>
      <rPr>
        <i/>
        <sz val="11"/>
        <color rgb="FF000000"/>
        <rFont val="Calibri"/>
        <family val="2"/>
        <charset val="1"/>
      </rPr>
      <t xml:space="preserve">" por la cual se implementa y desarrolla en el sistema de facturación electrónica la funcionalidad del documento soporte de pago de nómina electrónica y se adopta el anexo técnico para este documento" </t>
    </r>
    <r>
      <rPr>
        <sz val="11"/>
        <color theme="1"/>
        <rFont val="Calibri"/>
        <family val="2"/>
        <scheme val="minor"/>
      </rPr>
      <t>y reglamentaciones vigentes al momento de la ejecución del contrato y las demás normas que la modifiquen, adicionen o sustituyan.</t>
    </r>
  </si>
  <si>
    <t>900-IP-0314-2022</t>
  </si>
  <si>
    <t>Bego Ingeniería Cosultores SAS</t>
  </si>
  <si>
    <t>900-IPU-0220-2022</t>
  </si>
  <si>
    <t>900-IP-0492-2022</t>
  </si>
  <si>
    <t>900-IP-0388-2022</t>
  </si>
  <si>
    <t>900-IP-0397-2022</t>
  </si>
  <si>
    <t>900-IP-0429-2022</t>
  </si>
  <si>
    <t>900-IP-0563-2022</t>
  </si>
  <si>
    <t>Proveedor no estaba inscrito en el registro de proveedores</t>
  </si>
  <si>
    <t>900-IPU-0326-2022</t>
  </si>
  <si>
    <t>Ajustes a documentos radicados por el Área</t>
  </si>
  <si>
    <t>Registro del proveedor sugerido por el área</t>
  </si>
  <si>
    <t>Sin de ducciones</t>
  </si>
  <si>
    <t>sep</t>
  </si>
  <si>
    <t>Registro de proveedor (4), entrega pólizas por parte del proveedor y aprobación de las mismas (7)</t>
  </si>
  <si>
    <t>Aclaración especificaciones técnicas (30 )</t>
  </si>
  <si>
    <t>Ajuste del presupuesto y cantidades (12), entrega pólizas por parte del proveedor (13), aprobación pólizas (7)</t>
  </si>
  <si>
    <t>No presentaron cotizaciones y se registraron proveedores recomendados por el área (17), revisión aspect técnicos (3), entrega de pólizas por parte del proveedor (12)</t>
  </si>
  <si>
    <t>El proceso inicia el 4 de agosto con Ana María (23)</t>
  </si>
  <si>
    <t>Ajuste del presupuesto por mayor valor del producto (6)</t>
  </si>
  <si>
    <t>Ajuste a la cantidad de ítems solicitados y la afectación a los valores de la imputación presupuestal (14)</t>
  </si>
  <si>
    <t>Ajuste especifiaciones técnicas requeridas por el proveedor (20)</t>
  </si>
  <si>
    <t>Sin ajustes</t>
  </si>
  <si>
    <t>Ajuses al presupuesto por alza del dollar (12)</t>
  </si>
  <si>
    <t>Ajuste del presupuesto por parte del área (16)</t>
  </si>
  <si>
    <t xml:space="preserve"> Observaciones al formulario de cantidades y precios y a las especificaciones técnicas (7)</t>
  </si>
  <si>
    <t>CDP asignado para el proceso se encuentra anulado al igual que la vigencia futura (14)</t>
  </si>
  <si>
    <t>Ajustes requeridos en el formulario de cantidades y precios (12)</t>
  </si>
  <si>
    <t xml:space="preserve"> Modificaciones en el formulario de cantidades y precios y las especificaciones técnicas (4), firma FPA e Invitación por el GG (16), firma AO por el GG (8)</t>
  </si>
  <si>
    <t>Ajuste presupuestal por el área (14), cambio plazo de ejecución (12)</t>
  </si>
  <si>
    <t>El proceso se inicia el 16 de mayo al juntar varios requerimientos con idéntico objeto</t>
  </si>
  <si>
    <t>Resgisrtro del proveedor</t>
  </si>
  <si>
    <t>NOTA</t>
  </si>
  <si>
    <t>oct</t>
  </si>
  <si>
    <t>300-AO-2285-2022</t>
  </si>
  <si>
    <t>FAMINDUSTRIAL ASESORES AMBIENTALES SAS</t>
  </si>
  <si>
    <t>0418</t>
  </si>
  <si>
    <t>GAA0676</t>
  </si>
  <si>
    <t>20 de abril en elaboracion de la fpa y cc
28 DE ABRIL PUBLICADO 
5 DE MAYO ESPERANDO LA RECEPCION DE OFERTAS
17 DE MAYO NO SE PRESENTO NINGUN PROPONENTE ESTA EN ACTA DE CIERRE</t>
  </si>
  <si>
    <t>GE0350</t>
  </si>
  <si>
    <t>GE0361</t>
  </si>
  <si>
    <t>GAA0781 </t>
  </si>
  <si>
    <t> GAA0775 </t>
  </si>
  <si>
    <t>900-IPU-0327-2022</t>
  </si>
  <si>
    <t xml:space="preserve">3 de agosto reasignado a laura pimienta
SE DEVUELVE AL AREA POR AJUSTE DE PRESUPUESTO </t>
  </si>
  <si>
    <t>DEVUELTO PORQUE ES UN PROCESO SAM</t>
  </si>
  <si>
    <t>900-IPU-0491-2022</t>
  </si>
  <si>
    <t>28 DE SEPTIEMBRE DEVUELTO</t>
  </si>
  <si>
    <t>se devuelve por suspension de procesos por parte de  la gerencia general</t>
  </si>
  <si>
    <t>900-IPU-0442-2022</t>
  </si>
  <si>
    <t>900-IPU-0444-2022</t>
  </si>
  <si>
    <t>900-IP-0502-2022</t>
  </si>
  <si>
    <t>GE0376</t>
  </si>
  <si>
    <t>900-IP-0519-2022</t>
  </si>
  <si>
    <t>GE0377</t>
  </si>
  <si>
    <t>900-IP-0538-2022</t>
  </si>
  <si>
    <t>900-IP-0542-2022</t>
  </si>
  <si>
    <t>900-IP-0543-2022</t>
  </si>
  <si>
    <t>900-IP-0566-2022</t>
  </si>
  <si>
    <t>GE0382</t>
  </si>
  <si>
    <t>900-IP-0575-2022</t>
  </si>
  <si>
    <t>0596</t>
  </si>
  <si>
    <t>Realizar el Suministro de Hidroxido de Sodio para ser utilizado en el Tratamiento de Agua Potable para Consumo Humano</t>
  </si>
  <si>
    <t>0597</t>
  </si>
  <si>
    <t>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t>
  </si>
  <si>
    <t>0598</t>
  </si>
  <si>
    <t>GAA0812</t>
  </si>
  <si>
    <t>FR-300-GAA-0257-2022</t>
  </si>
  <si>
    <t>Atención y Rehabilitación de tuberías Estalladas (Mayores o Iguales a 12") en diferentes sectores de la Ciudad de Cali</t>
  </si>
  <si>
    <t>0599</t>
  </si>
  <si>
    <t>900-IP-0599-2022</t>
  </si>
  <si>
    <t>0602</t>
  </si>
  <si>
    <t>GHA0285</t>
  </si>
  <si>
    <t>FR-800-GHA-0201-2022</t>
  </si>
  <si>
    <t>Suministro de Divisiones Modulares, puestos de trabajo y sillas para amoblar el espacio en la Planta CALLE 13</t>
  </si>
  <si>
    <t>0603</t>
  </si>
  <si>
    <t>GE0233</t>
  </si>
  <si>
    <t>FR-500-GE-0226-2022</t>
  </si>
  <si>
    <t>Suministro de Elementos y Reactivos para Laboratorio</t>
  </si>
  <si>
    <t>28 DE SEPTIEMBRE EN REVISON DE LA CC POR PARTE DE SILVIA
31 DE OCTUBRE SE DEVUELVE PORQUE NO SE ALCANZA A TRAMITAR</t>
  </si>
  <si>
    <t>200-AO-2335-2022</t>
  </si>
  <si>
    <t>500-AO-2363-2022</t>
  </si>
  <si>
    <t>HIGIENE OCUPACIONAL Y AMBIENTAL LTDA</t>
  </si>
  <si>
    <t>300-AO-2338-2022</t>
  </si>
  <si>
    <t>SGS COLOMBIA SAS</t>
  </si>
  <si>
    <t>300-AO-2325-2022</t>
  </si>
  <si>
    <t>AIRCO SAS</t>
  </si>
  <si>
    <t>900-IP-0432-2022</t>
  </si>
  <si>
    <t>800-AO-2377-2022</t>
  </si>
  <si>
    <t>400-AO-2220-2022</t>
  </si>
  <si>
    <t>RF LABS GRUPO TECNOLOGICO</t>
  </si>
  <si>
    <t>GHA0270
GHA0271
GHA0277
GHA0278</t>
  </si>
  <si>
    <t>800-AO-2227-2022</t>
  </si>
  <si>
    <t>COLEGAS SAS</t>
  </si>
  <si>
    <t>500-CMA-1743-2021/500-AO-2380-2022</t>
  </si>
  <si>
    <t>300-AO-2257-2022</t>
  </si>
  <si>
    <t xml:space="preserve">TECNICAS EN  AUTOMATIZACION Y CONTROL SAS </t>
  </si>
  <si>
    <t>500-AO-2344-2022</t>
  </si>
  <si>
    <t>WEEM ENERGY SAS</t>
  </si>
  <si>
    <t>400-AO-2287-2022</t>
  </si>
  <si>
    <t>TECHNO FUEGO SAS</t>
  </si>
  <si>
    <t>800-AO-2378-2022</t>
  </si>
  <si>
    <t>AUTOMOTORES FARALLONES SAS</t>
  </si>
  <si>
    <t>200-AO-2365-2022</t>
  </si>
  <si>
    <t>VIVENTIC SAS</t>
  </si>
  <si>
    <t>28 DE NOVIEBRE 2022</t>
  </si>
  <si>
    <t>800-AO-2371-2022</t>
  </si>
  <si>
    <t>MASUNION SAS</t>
  </si>
  <si>
    <t>900-IP-0408-2022</t>
  </si>
  <si>
    <t>900-IP-0103-2022</t>
  </si>
  <si>
    <t>Se amplía plazo para presentar oferta por motivos de revisiones internas de la empresa a las condiciones de contratación (5), SAP COLOMBIA, envía observaciones a las condiciones de contratación, dichas observaciones generaron un desacuerdo entre EMCALI y la empresa SAP debido a que dicha empresa manifestaba no acogerse al plan de mitigación de riesgos exigidos por EMCALI, como tampoco ciertas clausulas inmersas en las condiciones de contratación (26), entrega RPC (5)</t>
  </si>
  <si>
    <t>Entraga y aprobacipon de pólizas (10)</t>
  </si>
  <si>
    <t>Entraga y aprobacipon de pólizas (5)</t>
  </si>
  <si>
    <t>CONTRATADOS POR ÁREA</t>
  </si>
  <si>
    <t>Ajuste documentos radicados por el Área (3)</t>
  </si>
  <si>
    <r>
      <rPr>
        <b/>
        <sz val="9"/>
        <color theme="1"/>
        <rFont val="Arial"/>
        <family val="2"/>
      </rPr>
      <t>NOTA</t>
    </r>
    <r>
      <rPr>
        <sz val="9"/>
        <color theme="1"/>
        <rFont val="Arial"/>
        <family val="2"/>
      </rPr>
      <t>: Durante los meses de febrero y junio no se delantaron procesos por Ley de Garatías</t>
    </r>
  </si>
  <si>
    <r>
      <rPr>
        <b/>
        <sz val="11"/>
        <color theme="0"/>
        <rFont val="Arial"/>
        <family val="2"/>
      </rPr>
      <t>Invitación Pública</t>
    </r>
    <r>
      <rPr>
        <b/>
        <sz val="9"/>
        <color theme="0"/>
        <rFont val="Arial"/>
        <family val="2"/>
      </rPr>
      <t xml:space="preserve">
(100 días calendario)</t>
    </r>
  </si>
  <si>
    <r>
      <rPr>
        <b/>
        <sz val="11"/>
        <color theme="0"/>
        <rFont val="Arial"/>
        <family val="2"/>
      </rPr>
      <t>Invitación Privada</t>
    </r>
    <r>
      <rPr>
        <b/>
        <sz val="9"/>
        <color theme="0"/>
        <rFont val="Arial"/>
        <family val="2"/>
      </rPr>
      <t xml:space="preserve">
(25 días hábiles)</t>
    </r>
  </si>
  <si>
    <t>No. De procesos</t>
  </si>
  <si>
    <t>Días promedio</t>
  </si>
  <si>
    <r>
      <rPr>
        <b/>
        <sz val="11"/>
        <color theme="0"/>
        <rFont val="Arial"/>
        <family val="2"/>
      </rPr>
      <t>Invitación Pública</t>
    </r>
    <r>
      <rPr>
        <b/>
        <sz val="9"/>
        <color theme="0"/>
        <rFont val="Arial"/>
        <family val="2"/>
      </rPr>
      <t xml:space="preserve">
(Meta 1,0%)</t>
    </r>
  </si>
  <si>
    <r>
      <rPr>
        <b/>
        <sz val="11"/>
        <color theme="0"/>
        <rFont val="Arial"/>
        <family val="2"/>
      </rPr>
      <t>Invitación Privada</t>
    </r>
    <r>
      <rPr>
        <b/>
        <sz val="9"/>
        <color theme="0"/>
        <rFont val="Arial"/>
        <family val="2"/>
      </rPr>
      <t xml:space="preserve">
(Meta 2,5%)</t>
    </r>
  </si>
  <si>
    <r>
      <rPr>
        <b/>
        <sz val="11"/>
        <color theme="0"/>
        <rFont val="Arial"/>
        <family val="2"/>
      </rPr>
      <t>Acuerdos Comerciales / Contratos Marco</t>
    </r>
    <r>
      <rPr>
        <b/>
        <sz val="9"/>
        <color theme="0"/>
        <rFont val="Arial"/>
        <family val="2"/>
      </rPr>
      <t xml:space="preserve">
(Meta 1,5%)</t>
    </r>
  </si>
  <si>
    <t>900-IPU-533-2022</t>
  </si>
  <si>
    <t xml:space="preserve">28 de septiembre en revision de la fpa e invitacion, YA QUEDARON REVISADAS
10-11-2022, en firma de gerente GAE para publicacion de CC
18-11-2022, para firma de gerente GAE para publicar </t>
  </si>
  <si>
    <t>500-AO-2345-2022</t>
  </si>
  <si>
    <t>GRUPO DE INGENIERIA E INVERSIONES SAS</t>
  </si>
  <si>
    <t>500-AO-2346-2022</t>
  </si>
  <si>
    <t xml:space="preserve">ENERWATTS INGENIERIA SAS </t>
  </si>
  <si>
    <t>TIPO</t>
  </si>
  <si>
    <t>Esperando info del area</t>
  </si>
  <si>
    <t>800-AO-2284-2022</t>
  </si>
  <si>
    <t>VISION TECNOLOGICA VITEC-SAS</t>
  </si>
  <si>
    <t>600-AO-2327-2022</t>
  </si>
  <si>
    <t>LEIDY DIANA FRANCO</t>
  </si>
  <si>
    <t xml:space="preserve">2 DE AGOSTO ESPERANDO INTELIGENCIA DE MERCADO
31 de agosto recepcion de observaciones
28 de septiembre en evaluacion
12-11-2022, En espera del Informe de Evaluacion. En espera Acta de Comité de Evaluacion
29-11-2022, PENDIENTE ACTA COMITÉ CONTRATACION PARA CIERRE PROCESO </t>
  </si>
  <si>
    <t>31 de agosto en recepcion de ofertas
26 DE SEPTIEMBRE EN ESPERA DE LA FIRMA DEL ACTA DE ADJUDICACION. QUEDO PENDIENTE LA FIRMA DEL GERENTE GENERAL
09-11-2022, EN DIRECCION JURIDICA GG
18-11-2022, acta de cierre para firma de GG
24-11-2022, SE PUBLICOACTA DE TERMINACION EL 23-11-2022</t>
  </si>
  <si>
    <t>28 DE SEPTIEMBRE EN EVALUACION
18-11-2022, proponente no cumple requisitos de idoneidad y financieros
30-11-2022, PROCESO CERRADO PENDIENTE FIRMA ACTA CIERRE POR PARTE DE GG</t>
  </si>
  <si>
    <t>28 DE SEPTIEMBRE EN SOLCIITUD DE POLIZAS
15-11-2022, SE DEBEN AJUSTAR VALORES POR PARTE DEL AREA 
30-11-2022, PROCESO CERRADO MEDIANTE ACTA DE FECHA 23 NOV 2022</t>
  </si>
  <si>
    <t>0608</t>
  </si>
  <si>
    <t>GTI0194</t>
  </si>
  <si>
    <t>FR-200-GTI-0112-2022</t>
  </si>
  <si>
    <t>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t>
  </si>
  <si>
    <t>900-IPU-0608-2022</t>
  </si>
  <si>
    <t>PROCESO CERRADO MEDIANTE ACTA DE CIERRE DEL 24 DE NOVIEMBRE FIRMADA POR GERENTE ABASTECIMIENTO (E)</t>
  </si>
  <si>
    <t>9 de junio esperando info del area
17 DE JUNIO ESPERANDO INFO DEL AREA
18 DE JULIO ESPERANDO INFORMACION DEL AREA
1 DE AGOSTO ESPERANDO INFORMACION DEL AREA
28 DE SEPTIEMBRE EN REVISION JURIDICA
18-11-2022,se devuelve al area para revision de ppto y evaliuar si se realiza con personal de EMCALI</t>
  </si>
  <si>
    <t>2 de agosto en cotizaciones Pendiente firma desde el 8 de noviembre de 2022 por parte del Gerente GAE (E ) para devolución del proceso al área
29 DE SEPTIEMBRE SE DEVOLVERA AL AREA
Pendiente firma desde el 8 de noviembre de 2022 por parte del Gerente GAE (E ) para devolución del proceso al área</t>
  </si>
  <si>
    <t xml:space="preserve">1 de agosto en solciitud de conceptos. 5 DE AGOSTO EN SOLICITUD DE CONCEPTOS.
28 DE SEPTIEMBRE EN COTIZACIONES
EL PROVEEDOR NO ALCANZA A EJECUTAR EL CONTRATO </t>
  </si>
  <si>
    <t>900-IP-0450-2022</t>
  </si>
  <si>
    <t>900-IP-0469-2022</t>
  </si>
  <si>
    <t xml:space="preserve">31 de agosto en unificacion de los conceptos
28 DE  SEPTIEMBRE EN ELABOACION DE LA FPA E INVITACION El FPA esta lista para revision y en elaboracion La CC, para continuar con el proceso. 
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t>
  </si>
  <si>
    <t>28 DE SEPTIEMBRE EN ELABORACION Y FPA
10-11-2022, se devuelve al area con memorando 901-0302-2022 de noviembre 3</t>
  </si>
  <si>
    <t>SE DEVUELVE AL AREA DEBIDO EL UNICO PROVEEDOR QUE OFERTO NO CUENTA CON PERSONAL IDONEO HASTA ENERO 2023, MEMORANDO 900-0458-2022 DEL 15 DE NOVIEMBRE</t>
  </si>
  <si>
    <t xml:space="preserve">28 DE SEPTIEMBRE EN ELABORACIONDE FPA E INVITACION
24-11-2022, DEVUELTO AL AREA EL DIA 17/11/2022, DEBIDO A QUE SE DEBE COMPRAR POR GRANDES SUPERFICIES (LITERAL E ARTICULO 3 RESOLUCION J.D No 004 DE OCTUBRE 2020
</t>
  </si>
  <si>
    <t>900-IP-0559-2022</t>
  </si>
  <si>
    <t>EL 11 DE NOVIEMBRE SE DEVUELVE EL PROCESO AL AREA MEDIANTE MEMORANDO 901-0312-2022</t>
  </si>
  <si>
    <t>Devuelto con memorando 901-0308-2022 a la Gerencia de Area Tecnologia de la Informacion por tener caracteristicas de SAM.</t>
  </si>
  <si>
    <t>900-IP-0587-2022</t>
  </si>
  <si>
    <t>JHON LARRY CAICEDO</t>
  </si>
  <si>
    <t>Revision Asesor GAE</t>
  </si>
  <si>
    <t>GT0138
GT0201
GT0200
GT0143</t>
  </si>
  <si>
    <t>900-IP-0592-2022</t>
  </si>
  <si>
    <r>
      <t>FR-300-GAA-</t>
    </r>
    <r>
      <rPr>
        <sz val="10"/>
        <rFont val="Arial"/>
        <family val="2"/>
      </rPr>
      <t>0255</t>
    </r>
    <r>
      <rPr>
        <sz val="10"/>
        <color theme="1"/>
        <rFont val="Arial"/>
        <family val="2"/>
      </rPr>
      <t>-2022</t>
    </r>
  </si>
  <si>
    <t>Devuelto con memorando 900-0458-2022 a la Gerencia de Eneergia por que el unico proveedor que presento cotización   no cuenta con el personal disponible e idóneo según el alcance requerido en el proceso,  hasta antes de mediados de enero de 2023</t>
  </si>
  <si>
    <t xml:space="preserve">SE DEVUELVE AL AREA CON MEMORANDO 901-0297-2022 DEL 1 DE NOVIEMBRE 2022, REMPLAZAR FR 200-GTI-0138-2022 </t>
  </si>
  <si>
    <t>0610</t>
  </si>
  <si>
    <t>GAA0239</t>
  </si>
  <si>
    <t>FR-300-GAA-0256-2022</t>
  </si>
  <si>
    <t>Suministro de materiales y activos no financieros, para las plantas de potabilizacion de EMCALI E.I.C.E. E.P.S</t>
  </si>
  <si>
    <t>COMITE UNIDAD DE PRODUCCION JUAN PABLO GUTIERREZ LIBERÓ LOS RECURSOS DE ESTE PROCESO, NO HAY DISPONIBILIDAD $$$</t>
  </si>
  <si>
    <t>0611</t>
  </si>
  <si>
    <t>GF0086</t>
  </si>
  <si>
    <t>FR-700-GF-0080-2022</t>
  </si>
  <si>
    <t>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t>
  </si>
  <si>
    <t>0628</t>
  </si>
  <si>
    <t>Suministro de Terminales Ópticos ONT para la instalación de servicios en los clientes a tráves de la expansión de proyectos de FTTH (fibra hasta la casa) de EMCALI.</t>
  </si>
  <si>
    <t xml:space="preserve"> $       6.770.243.200,00</t>
  </si>
  <si>
    <t>900-IP-0628-2022</t>
  </si>
  <si>
    <t>SE DEVUELVE AL AREA PORQUE NO SE PUEDE REALIZAR POR IP Y POR TIEMPO NO SE PUEDE IPU</t>
  </si>
  <si>
    <t>0629</t>
  </si>
  <si>
    <t>Suministros Plataforma de Control Softswitch clase 4 y clase 5 y SBC para la GUENTIC</t>
  </si>
  <si>
    <t xml:space="preserve"> $       1.500.000.000,00</t>
  </si>
  <si>
    <t>0634</t>
  </si>
  <si>
    <t>FR-700-080-2022</t>
  </si>
  <si>
    <t>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t>
  </si>
  <si>
    <t xml:space="preserve">SE DEVUELVE AL AREA POR CORREO ELECTRONICO DE SANTIAGO ECHEVERRI INDICANDO QUE POR INSTRUCCIONES DADAS SE REALIZARA CONVENIO INTER ADMINISTRATIVO POR SECRETARIA GENERAL </t>
  </si>
  <si>
    <t>Acta de cierre en tramite</t>
  </si>
  <si>
    <t xml:space="preserve">5 DE MAYO A LA ESPERA DE LA REUNION DEL GERENTE DE ACUEDUCTO CON HACIENDA PARA DAR CONTINUIDAD. ESTE PROCESO LO TENIA VIAGNERY LOPEZ
17 de mayo esperando info del area
9 de junio en elaboracion de fpa y cc
17 DE JUNIO ESPERANDO INFORMACION DEL AREA
30 DE JUNIO EN EVALUACION SOBRE 2
18 DE JULIO ES UN PRECALIFICADO Y SE ESTA CONSTRUYENDO
29 de julio publicado. 5 DE AGOSTO EN REVISION DE ADJUDICACION.
28 DE SEPTIEMBRE EN EVALUAION SOBRE 1
24-11-2022, REVISION ACTA DE CIERRE ASESOR GAE
</t>
  </si>
  <si>
    <t xml:space="preserve">ELABORACION OFICIO DEVOLUCION </t>
  </si>
  <si>
    <t xml:space="preserve">Acta de terminacion anticipada por mutuo acuerdo </t>
  </si>
  <si>
    <t xml:space="preserve">16 de mayo publicado
27 DE MAYO SE RECIBEN OFERTAS
8 de junio en evaluacion sobre 1 
15 de julio publicacion del informe de evaluacion
1 DE AGOSTO EN TRAMITE DE POLIZAS 4 DE AGOSTO CONTINUA EN TRAMITEDE POLIZAS
28 DE SEPTIEMBRE EN OTRO SI POR MODIFICACION DE ITEMS
24-11-2022, Se entrego para firma del Gerente GAE, documento de terminación por mutuo a cuerdo del proceso de contratación, desde el 24 de noviembre. </t>
  </si>
  <si>
    <t>18 de julio en cotizaciones
2 agosto en solicitud de cotizaciones 4 DE AGOSTO EN ELABROACION DE FPA E INVITACION
28 DE SEPTIEMBRE EN EXPEDICION DE POLIZAS
31 de octubre en solicitu de polizas
09-11-2022, en firma de contratista</t>
  </si>
  <si>
    <t xml:space="preserve">1 DE AGOSTO EN INTELIGENCIA DE MERCADO
31 de agosto en respuesta a observacones
29 DE SEPTIEMBRE EN EVALUACION SOBRE 1
08-11-2022, Pasó a Comie y no fue coadyudado en espera gerente GAE
30-11-2022, EN ESPERA QUE SECRETARIA DE COMITÉ INFORME SI SE CIERRA O VUELVE A COMITE </t>
  </si>
  <si>
    <t>1 DE AGOSTO EN INTELIGENCIA DE MERCADO
28 DE SEPTIEMBRE EN REVISION DE FPA Y CC
09-11-2022, revision asesora juridica gae CC</t>
  </si>
  <si>
    <t>28 DE SEPTIEMBRE EN ELABORACION DE FPA Y CC
08-11-2022, Proceso que sale en lista de precalificados por segmentos, en revision juridica GAE
18-11-2022, esta en revision juridica GAE y sale por lista de precalificados, espera info del area si contamos con recursos del fonfo de adaptacion.
24-11-2022, POR INSTRUCCIÓN ASESORES GERENCIA GENERAL PROCESOS QUE NO SE VAN A TRAMITAR HASTA QUE AREA ENTREGUE VF, PROCESOS PARA DEVOLUCION AL AEREA</t>
  </si>
  <si>
    <t xml:space="preserve">28 DE SEPTIEMBRE EN ELABORACION DE FPA Y CC
10-11-2022, proceso se entrega para revision FPA Y CC por motivo del levantameinto de suspension contratacion
24-11-2022, POR INSTRUCCIÓN ASESORES GERENCIA GENERAL PROCESOS QUE NO SE VAN A TRAMITAR HASTA QUE AREA ENTREGUE VF, PROCESOS PARA DEVOLUCION AL AEREA </t>
  </si>
  <si>
    <t>28 DE SEPTIEMBRE EN ELABORACION DE FPA Y CC
10-11-2022, proceso se entrega para revision FPA Y CC por motivo del levantameinto de suspension contratacion 
18-11-2022, en revision sale por lista de precalificados
24-11-2022, POR INSTRUCCIÓN ASESORES GERENCIA GENERAL PROCESOS QUE NO SE VAN A TRAMITAR HASTA QUE AREA ENTREGUE VF, PROCESOS PARA DEVOLUCION AL AEREA</t>
  </si>
  <si>
    <t xml:space="preserve">3 de agosto reasignado a harold mondragon
28 DE SEPTIEMBRE EN ELABORACION DE FPA Y CC
10-11-2022, proceso se enttrega para revision 
18-11-2022, en revision y sale por lista de precalificados
24-11-2022, POR INSTRUCCIÓN ASESORES GERENCIA GENERAL PROCESOS QUE NO SE VAN A TRAMITAR HASTA QUE AREA ENTREGUE VF, PROCESOS PARA DEVOLUCION AL AEREA </t>
  </si>
  <si>
    <t>PRECALIF</t>
  </si>
  <si>
    <t>1 de agosto en solicitud de conceptos
28 DE SEPTIEMBRE EN ELABORACION DE FPA Y CC
08-11-2022, se encuentra en lista de precalificados por segmentos, en revision juridica de la GAE</t>
  </si>
  <si>
    <t>900-IPU-0446-2022</t>
  </si>
  <si>
    <t>28 DE SEPTIEMBRE EN ELABORACION DE FPA Y CC
09-11-2022, Revision FPA Y CC en juridico GAE
18-11-2022, revisado por asesora GAE con observaciones y pasar a direccion juridica 
24-11-2022, POR INSTRUCCIÓN ASESORES GERENCIA GENERAL PROCESOS QUE NO SE VAN A TRAMITAR HASTA QUE AREA ENTREGUE VF, PROCESOS PARA DEVOLUCION AL AEREA</t>
  </si>
  <si>
    <t>900-IPU-0447-2022</t>
  </si>
  <si>
    <t>28 DE SEPTIEMBRE EN ELABORACION DE FPA Y CC
10-11-2022, se entrega a juridico de la GAE
24-11-2022, POR INSTRUCCIÓN ASESORES GERENCIA GENERAL PROCESOS QUE NO SE VAN A TRAMITAR HASTA QUE AREA ENTREGUE VF, PROCESOS PARA DEVOLUCION AL AEREA</t>
  </si>
  <si>
    <t>JULIO ERNESTO GARCIA</t>
  </si>
  <si>
    <t>28 de septiembre en elaboracion de fpa e invitacion
12-11-2022 El FPA y La INVITACION PRIVADA ya fueron revisadas y se esta en el ajuste de las imputaciones presupuestales con el nuevo CDP expedido por SAP.</t>
  </si>
  <si>
    <t xml:space="preserve">28 de septiembre 2022 en evaluacion
 12-11-2022, El IPU-0276 se Cerro y el 900-IP-0522-2022 esta en Evaluacion de la Propuesta recibida. Se eleboro AO. </t>
  </si>
  <si>
    <t>28 DE SEPTIEMBRE EN REVISION DE FPA E INVITACION
12-11-2022 en espera de firma de FPA E INVITACION</t>
  </si>
  <si>
    <t>28 DE SEPTIEMBRE ESPERANDO REGISTRO DE PROVEEDORES 
12-11-2022 En la cotización se envía para ajuste, se sale del presupuesto</t>
  </si>
  <si>
    <t xml:space="preserve">28 de septiembre en evaluacion de la oferta
12-11-2022, El IP-0463 se Cerro y el 900-IP-0545-2022 esta en Evaluacion de la Propuesta recibida. Se elbaoro AO. </t>
  </si>
  <si>
    <t>28 DE SEPTIEMBRE EN ELABORACION DE FPA Y CC
24-11-2022, POR INSTRUCCIÓN ASESORES GERENCIA GENERAL PROCESOS QUE NO SE VAN A TRAMITAR HASTA QUE AREA ENTREGUE VF, PROCESOS PARA DEVOLUCION AL AEREA</t>
  </si>
  <si>
    <t>28 DE SEPTIEMBRE EN FPA E INVITACION
30-11-2022, SE PASO PARA REVISION DE SARHA EN GAE</t>
  </si>
  <si>
    <t xml:space="preserve">28 DE SEPTIEMBRE EN ELABORACIONDE FPA E INVITACION
24-11-2022, LO TIENE LA ASESORA SAHARA DE GAE QUIEN HACE AJUSTES Y DEVUELVE AL ASESOR EL 15 Y SE LE VOLVIO A PASAR EL 18 DE NOVIEMBRE A LA ASESORA </t>
  </si>
  <si>
    <t xml:space="preserve">28 DE SPETIEMBRE EN EVALUACION
10-11-2022, pediente aclaracion por parte del proponente </t>
  </si>
  <si>
    <t>28 DE SEPTIEMBRE EN ELABORACIONDE FPA E INVITACION
10-11-2022, COTIZACIONES
24-11-2022,  PROCESO QUE PRESENTA DEMORA DEBIDO A QUE DESDE EL DIA 04 DE NOVIEMBRE SE SOLICITO CDP AJUSTADO A SAP(AL AREA), AL NO TENER RESPUESTA POR PARTE DEL AREA, BAJE DIRECTAMENTE AL AREA DE PRESUPUESTO A QUE ME EMITIERAN NUEVO CDP.
30-11-2022, EL PROCESO SE VA A DEVOLVER PORQUE ES UN SAM</t>
  </si>
  <si>
    <t>28 DE SEPTIEMBRE EN ELABORACIONDE FPA E INVITACION
Se pídieron nuevamente los conceptos para ingresar las garantia de seriedad de la oferta
10-11-2022, se netrega al asesor para revision y firmas
24-11-2022 PENDIENTE QUE AREA AJUSTE VALOR DE PRESUPUESTO PARA CONTRATAR</t>
  </si>
  <si>
    <t>28 DE SEPTIEMBRE ESPERANDO REGISTRO DE PROVEEDORES
12-11-2022,  En espera de cotización, la cotización que envía el áera con el proveedor DIGITOP, aún no ha hecho el registro de proveedor</t>
  </si>
  <si>
    <t>GE0390</t>
  </si>
  <si>
    <t>900-IP-0586-2022</t>
  </si>
  <si>
    <t>900-IP-0594-2022</t>
  </si>
  <si>
    <t>REVISION FPA E INVITACION POR PARTE ASESOR GAE</t>
  </si>
  <si>
    <t>Se pasa para revision de invitacion a asesora GAE 15-11-2022</t>
  </si>
  <si>
    <t>900-IP-0598-2022</t>
  </si>
  <si>
    <t>25.11.2022 Se solició al area modificaciones requeridas por el Asesor Franz, a la fecha no las han resuelto</t>
  </si>
  <si>
    <t>900-IP-0603-2022</t>
  </si>
  <si>
    <t>0604</t>
  </si>
  <si>
    <t>GTI0206</t>
  </si>
  <si>
    <t>FR-200-GTI-0138-2022</t>
  </si>
  <si>
    <t>Prestacion de servicio especializado para atencion de solicitudes de servicio, según las practicas o procesos operativos de la metodologia ITIL, considerando el segundo nivel especializado, y tercer nivel de soporte o fabricante para los modulos de SAP S4/Hana</t>
  </si>
  <si>
    <t>900-IP-0604-2022</t>
  </si>
  <si>
    <t>0605</t>
  </si>
  <si>
    <t>Adquisicion de diademas binaurales y monoaurales para contac center de la gerencia comercial y la gerencia de telecomunicaciones</t>
  </si>
  <si>
    <t>900-IP-0605-2022</t>
  </si>
  <si>
    <t>0606</t>
  </si>
  <si>
    <t>FR-200-GTI-0126-2022</t>
  </si>
  <si>
    <t xml:space="preserve">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t>
  </si>
  <si>
    <t>900-IP-606-2022</t>
  </si>
  <si>
    <t>En revisión de Jose Julian de FPA e Invitación desde el 21 de noviembre de 2022.</t>
  </si>
  <si>
    <t>0607</t>
  </si>
  <si>
    <t>GTI0209</t>
  </si>
  <si>
    <t>FR-200-GTI-0139-2022</t>
  </si>
  <si>
    <t>Servicio en la nube (SaaS) del software Autocad (Autocad full, Autocad LT)</t>
  </si>
  <si>
    <t>900-IP-0607-2022</t>
  </si>
  <si>
    <t>Hoy viernes 11 de noviembre presentaban cotizaciones los proveedores pero el GTI amplió el presupuesto y se dio plazo hasta el martes 15 de noviembre para recibir cotizaciones</t>
  </si>
  <si>
    <t>0609</t>
  </si>
  <si>
    <t xml:space="preserve">Realizar la reparacion, mantenimeinto y puesta en funcionamiento de equipos y componentes criticos en estaciones de bombeo de aguas lluvias y residuales para mitigar riesgos en el servicio de bombeo asociados a la variabilidad climatica </t>
  </si>
  <si>
    <t>900-IP-0609-2022</t>
  </si>
  <si>
    <t>0612</t>
  </si>
  <si>
    <t>900-IP-0612 -2022</t>
  </si>
  <si>
    <t>0613</t>
  </si>
  <si>
    <t>900-IP-0613-2022</t>
  </si>
  <si>
    <t>0614</t>
  </si>
  <si>
    <t>900-IP-0614-2022</t>
  </si>
  <si>
    <t>0615</t>
  </si>
  <si>
    <t>900-IP-0615-2022</t>
  </si>
  <si>
    <t xml:space="preserve">24-11-2022, PROCESO EN ELABORACION DE FPA E INVITACION, NO SE PASA AUN A REVISION POR ESPERA DE CDP AJUSTADO A SAP. JESUS PASTRANA SE ENCUENTRA TRAMITANDO ESTE DOCUMENTO
30-11-2022, PASA AL ASESOR GAE </t>
  </si>
  <si>
    <t>0616</t>
  </si>
  <si>
    <t>GT0252</t>
  </si>
  <si>
    <t>FR-400-GT-0209-2022</t>
  </si>
  <si>
    <t>Suministro, implementacion e instalacion de una solucion WIFI con equipos access point outdoor ruckus, con portal cautivo en nueve pantallas en boulevard del rio cali, lo que permita la conectividad al internet de los usuarios de dicho sitio turistico</t>
  </si>
  <si>
    <t>900-IP-0616-2022</t>
  </si>
  <si>
    <t>0617</t>
  </si>
  <si>
    <t>GE0375</t>
  </si>
  <si>
    <t>FR-500-GE-0247-2022</t>
  </si>
  <si>
    <t xml:space="preserve">Calibracion equipo medidor de multiparametros </t>
  </si>
  <si>
    <t>900-IP-0617-2022</t>
  </si>
  <si>
    <t>30-11-2022, SE PIDIO SEGUNDA COTIZACION Y REGISTRAR EN REGISTRO PROVEEDOR.</t>
  </si>
  <si>
    <t>GE0187</t>
  </si>
  <si>
    <t>FR-500-GE-0266-2022</t>
  </si>
  <si>
    <t>Prueba de rigidez dielectrica para vehiculo tipo canasta</t>
  </si>
  <si>
    <t>900-IP-0618-2022</t>
  </si>
  <si>
    <t xml:space="preserve">Suministro de materiales y elementos de proteccion electrica para ser instalados en redes de distribucion </t>
  </si>
  <si>
    <t>900-IP-0619-2022</t>
  </si>
  <si>
    <t>0620</t>
  </si>
  <si>
    <t>FR-500-GE-0276-2022</t>
  </si>
  <si>
    <t xml:space="preserve">Suministro de materiales y elementos de proteccion electrica para ser instalados en redes y subestaciones de energia </t>
  </si>
  <si>
    <t>900-IP-0620-2022</t>
  </si>
  <si>
    <t>Se envío Invitación A ofertar al proveedor el 23 de noviembre de 2022, com plazo de entrega de la oferta el 28 de noviembre de 2022.</t>
  </si>
  <si>
    <t>0621</t>
  </si>
  <si>
    <t>FR-300-GAA-0259-2022</t>
  </si>
  <si>
    <t xml:space="preserve">Realizar la conformacion de sectores hidraulicos en la red baja oriental del sistema de distribucion de agua potable, de la ciudad de santiago de cali </t>
  </si>
  <si>
    <t>POR INSTRUCCIÓN ASESORES GERENCIA GENERAL PROCESOS QUE NO SE VAN A TRAMITAR HASTA QUE AREA ENTREGUE VF, PROCESOS PARA DEVOLUCION AL AEREA</t>
  </si>
  <si>
    <t>0622</t>
  </si>
  <si>
    <t xml:space="preserve">Realizar la interventoria tecnica, administrativa,financiera,contable y juridica del contrato que ejecutara la conformacion de sectores hidraulicos en la red baja oriental del sitema de distribucion de agua potable de la ciudad de santiago de cali </t>
  </si>
  <si>
    <t>0623</t>
  </si>
  <si>
    <t>FR-300-GAA-0261-2022</t>
  </si>
  <si>
    <t>Optimización de la estacion de bombeo de aguas lluvias paso del comercio- paso IV</t>
  </si>
  <si>
    <t>0624</t>
  </si>
  <si>
    <t>FR-300-GAA-0260-2022</t>
  </si>
  <si>
    <t>Interventoria para el suministro,montaje,instalacion,pruebas,calibracion y puesta en funcionamiento de equipos, elementos y demas infraestructura requerida para la estacion de bombeo de paso del comercio IV</t>
  </si>
  <si>
    <t>0625</t>
  </si>
  <si>
    <t>FR-300-GAA-0262-2022</t>
  </si>
  <si>
    <t>Interventoria construccion nueva linea de aduccion planta de acueducto rio cali (b. san antonio ) en el distrito especial santiago de cali</t>
  </si>
  <si>
    <t>0626</t>
  </si>
  <si>
    <t>FR-300-GAA-0263-2022</t>
  </si>
  <si>
    <t>Construccion de nueva linea de aduccion planta de acueducto rio cali (b. san antonio ) en el distrito especial santiago de cali</t>
  </si>
  <si>
    <t>0627</t>
  </si>
  <si>
    <t>FR-800-GHA-0202-2022</t>
  </si>
  <si>
    <t>Realizar las actividades para llevar a cabo las adecuaciones locativas y mantenimiento preventivos y correctivos en las sedes pertenecientes al corporativo de EMCALI- CAM TORRE EMCALI</t>
  </si>
  <si>
    <t>0630</t>
  </si>
  <si>
    <t>GHA0286</t>
  </si>
  <si>
    <t>FR-800-GHA-0203-2022</t>
  </si>
  <si>
    <t xml:space="preserve">Realizar la Inspección de ocho (8) ascensores utilizados por EMCALI para el transporte </t>
  </si>
  <si>
    <t>900-IP-0630-2022</t>
  </si>
  <si>
    <t>0631</t>
  </si>
  <si>
    <t>GAA0808</t>
  </si>
  <si>
    <t>FR-300-GAA-0264-2022</t>
  </si>
  <si>
    <t>Atender y reparar en el menor tiempo posible los daños localizdos y detectados en las redes matrices, con tuberias &gt; a 12 " del sistema de distribucion de acueducto en las areas de cobertura de EMCALI EICE EPS</t>
  </si>
  <si>
    <t>0632</t>
  </si>
  <si>
    <t>GAA0814</t>
  </si>
  <si>
    <t>FR-300-GAA-0265-2022</t>
  </si>
  <si>
    <t>Reparacion losas canal carrera 39 entre calles 12b y 13</t>
  </si>
  <si>
    <t>900-IP-0632-2022</t>
  </si>
  <si>
    <t>30.11.2022 Se paso FPA e invitación para revision de Sarha</t>
  </si>
  <si>
    <t>0633</t>
  </si>
  <si>
    <t>GAA0813</t>
  </si>
  <si>
    <t>FR-300-GAA-0266-2022</t>
  </si>
  <si>
    <t>SUMINISTRO CABLES PTAP</t>
  </si>
  <si>
    <t>0635</t>
  </si>
  <si>
    <t>GHA0288</t>
  </si>
  <si>
    <t>FR-800-GHA-0214-2022</t>
  </si>
  <si>
    <t>Realizar la compra de tres (3) equipos de presión-succión para la Unidad de Recolección de la UENAA</t>
  </si>
  <si>
    <t>900-IP-0635-2022</t>
  </si>
  <si>
    <t>GE0388</t>
  </si>
  <si>
    <t>FR-500-GE-0254-2022</t>
  </si>
  <si>
    <t>Mantenimiento preventivo a compresores de aire</t>
  </si>
  <si>
    <t>GE0387</t>
  </si>
  <si>
    <t>FR-500-GE-0255-2022</t>
  </si>
  <si>
    <t>Mantenimiento preventivo a Balanza Analítica</t>
  </si>
  <si>
    <t>0638</t>
  </si>
  <si>
    <t>GHA0287</t>
  </si>
  <si>
    <t>FR-800-GHA-0199-2022</t>
  </si>
  <si>
    <t>Realizar las actividades necesarias para llevar a cabo las adecuaciones locativas y mantenimiento preventivos y correctivos sedes pertenecientes a la GUENTIC. Centrales Telefonicas</t>
  </si>
  <si>
    <t>0639</t>
  </si>
  <si>
    <t>GE0396</t>
  </si>
  <si>
    <t>FR-500-GE-0279-2022</t>
  </si>
  <si>
    <t>Suministro de las luminarias y proyectores Led para Sistemas de Alumbrado Público      </t>
  </si>
  <si>
    <t>900-IP-0639-2022</t>
  </si>
  <si>
    <t>400-AO-2336-2022</t>
  </si>
  <si>
    <t>ELECTRO REDES GLOBAL SAS</t>
  </si>
  <si>
    <t>AB-2300002869</t>
  </si>
  <si>
    <t>800-AO-2420-2022</t>
  </si>
  <si>
    <t>23-11-202</t>
  </si>
  <si>
    <t xml:space="preserve">GENERAL DE EQUIPOS DE COLOMBIA S.A GECOLSA </t>
  </si>
  <si>
    <t>AB-2300002903</t>
  </si>
  <si>
    <t>2 de agosto en solicitud de conceptos
29 DE AGOSTO SE CIERRA PORQUE EL PROVEEDOR DESISITIO 
12-11-2022,Pendiente envío póliza de cumplimiento por parte del proveedor</t>
  </si>
  <si>
    <t>400-AO-2298-2022</t>
  </si>
  <si>
    <t>SUMINISTROS E INSUMOS INDUSTRIALES LTDA</t>
  </si>
  <si>
    <t>500-AO-2382-2022</t>
  </si>
  <si>
    <t>SUMINISTRO E INSUMOS INDUSTRIALES LTDA</t>
  </si>
  <si>
    <t>sep 23 a nov 03</t>
  </si>
  <si>
    <t>Suspendido</t>
  </si>
  <si>
    <t>5 DE AGOSTO ENTREGADO  REASIGANDO A LAURA PIMIENTA
28 DE SEPTIEMBRE EN COTIZACIONES
24-11-2022, En tramite de Emisión de RP y Emisión de Polizas desde el 23 de noviembre de 2022</t>
  </si>
  <si>
    <t>Emisión RPC por migración a SAP</t>
  </si>
  <si>
    <t>Expedición de pólizas</t>
  </si>
  <si>
    <t>nov</t>
  </si>
  <si>
    <t>De los 88 procesos en trámite, cuatro (4) se encuentran en aprobacíón de pólizas, dos (2) en aceptación de oferta, seis (6) en evaluación, veinte (20) en proceso de devolución al área, seis (6) en actad e cierre) y cincuenta (50) en proceso</t>
  </si>
  <si>
    <t>300-AO-2088-2022</t>
  </si>
  <si>
    <t>CALABASTOS S.A.S.</t>
  </si>
  <si>
    <t>300-AO-2484-2022</t>
  </si>
  <si>
    <t>SERVICIOS INDUSTRIALES Y DE TECNOLOGIA SAS</t>
  </si>
  <si>
    <t>PM-2100000114</t>
  </si>
  <si>
    <t>800-AO-2432-2022</t>
  </si>
  <si>
    <t>SURAMERICANA DE GUANTES SAS</t>
  </si>
  <si>
    <t>AB2300002952</t>
  </si>
  <si>
    <t>500-AO-2451-2022</t>
  </si>
  <si>
    <t>SOLLIVAN SMART SOLUTION SAS</t>
  </si>
  <si>
    <t>300-AO-2392-2022</t>
  </si>
  <si>
    <t>AS ANALITICAL S.A.S</t>
  </si>
  <si>
    <t>AB-2300002592</t>
  </si>
  <si>
    <t>400-AO-2427-2022</t>
  </si>
  <si>
    <t>IMAGUNET SAS</t>
  </si>
  <si>
    <t>AB2300002935</t>
  </si>
  <si>
    <t>300-AO-2456-2022</t>
  </si>
  <si>
    <t>HACH COLOMBIA SAS</t>
  </si>
  <si>
    <t>AB-2300002978</t>
  </si>
  <si>
    <t>300-AO-2434-2022</t>
  </si>
  <si>
    <t>300-AO-2453-2022</t>
  </si>
  <si>
    <t>PROFINAS SAS</t>
  </si>
  <si>
    <t>200-AO-2462-2022</t>
  </si>
  <si>
    <t>CARLOS GIOVANNI PARADA AVILA</t>
  </si>
  <si>
    <t>AB-2300002991</t>
  </si>
  <si>
    <t>500-AO-2483-2022</t>
  </si>
  <si>
    <t>AB-2300003079</t>
  </si>
  <si>
    <t>Sep</t>
  </si>
  <si>
    <t>IP-</t>
  </si>
  <si>
    <t>Dec</t>
  </si>
  <si>
    <t>200-AO-2477-2022</t>
  </si>
  <si>
    <t xml:space="preserve">DC TECHNOLOGY SERVICES S.A.S </t>
  </si>
  <si>
    <t>AB-2300003054</t>
  </si>
  <si>
    <t/>
  </si>
  <si>
    <t>CMA-1974-2020-300-AO-2473-2022</t>
  </si>
  <si>
    <t>EQUIPOS Y HERRAMIENTAS INDUSTRIALES SAS.</t>
  </si>
  <si>
    <t>Oct</t>
  </si>
  <si>
    <t xml:space="preserve">METALICAS JEP SAS </t>
  </si>
  <si>
    <t>AB-2300002959</t>
  </si>
  <si>
    <t>Nov</t>
  </si>
  <si>
    <t>200-AO-2441-2022</t>
  </si>
  <si>
    <t>SOFTIEK RENOVATION SAS</t>
  </si>
  <si>
    <t>AB2300002958</t>
  </si>
  <si>
    <t>200-AO-2516-2022</t>
  </si>
  <si>
    <t xml:space="preserve">DC TECJNOLOGY SERVICES S.A.S EN REORGANIZACION </t>
  </si>
  <si>
    <t>AB-2300003111</t>
  </si>
  <si>
    <t>200-AO-2518-2022</t>
  </si>
  <si>
    <t>MCAD TRAINIG &amp; CONSULTING</t>
  </si>
  <si>
    <t>500-AO-2495-2022</t>
  </si>
  <si>
    <t>EPRING S.A.S</t>
  </si>
  <si>
    <t>AB-2300003092</t>
  </si>
  <si>
    <t>GE0215
GE0222
GE0229
GE0312</t>
  </si>
  <si>
    <t>500-AO-2507-2022</t>
  </si>
  <si>
    <t>AGWA S.A.S</t>
  </si>
  <si>
    <t>AB-2300003107</t>
  </si>
  <si>
    <t>GE0321
GE0327</t>
  </si>
  <si>
    <t>500-AO-2452-2022</t>
  </si>
  <si>
    <t>METALICAS Y ELECTRICAS MELEC S.A</t>
  </si>
  <si>
    <t>PY-2270000324</t>
  </si>
  <si>
    <t>800-AO-2476-2022</t>
  </si>
  <si>
    <t>SERVIMETERS S.A.S</t>
  </si>
  <si>
    <t>PM-2100000111</t>
  </si>
  <si>
    <t>300-AO-2480-2022</t>
  </si>
  <si>
    <t xml:space="preserve">ALVARO LAZARON DEL VALLE </t>
  </si>
  <si>
    <t>GD2050000208</t>
  </si>
  <si>
    <t>0643</t>
  </si>
  <si>
    <t>GTI0213
GTI0214</t>
  </si>
  <si>
    <t>900-IP-0643-2022</t>
  </si>
  <si>
    <t>200-AO-2457-2022</t>
  </si>
  <si>
    <t>SONDA DE COLOMBIA S.A</t>
  </si>
  <si>
    <t>AB230002979</t>
  </si>
  <si>
    <t>0646</t>
  </si>
  <si>
    <t>GAA0815</t>
  </si>
  <si>
    <t>FR-300-GAA-0269-2022</t>
  </si>
  <si>
    <t>LUCY AYDEE ARBELAEZ</t>
  </si>
  <si>
    <t>EQUIPOS Y HERRAMIENTAS INDUSTRIALES SAS
ALMACEN RODAFER SAS</t>
  </si>
  <si>
    <t>0662</t>
  </si>
  <si>
    <t>GAA0811
GAA0810</t>
  </si>
  <si>
    <t>FR-300-GAA-0250-2022
FR-300-GAA-0249-2022</t>
  </si>
  <si>
    <t>AB1120002845</t>
  </si>
  <si>
    <t>CMA-1242-2022-300-AO-2497-2022</t>
  </si>
  <si>
    <t>SNF COLOMBIA S.A.S</t>
  </si>
  <si>
    <t>AB-2300003085</t>
  </si>
  <si>
    <t>900-IPU-0281-2022</t>
  </si>
  <si>
    <t>0346</t>
  </si>
  <si>
    <t>0351</t>
  </si>
  <si>
    <t>18 de julio en elaboracion de la fpa e invitacion
2 de agosto encotizaciones nuevamente porque el ganador anterior desistio  4 DE AGOSTO REASIGNADO A ANA MARIA GIL 
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
28 DE SEPTIEMBRE EN OTRO SI PARA AMPLAICION DEL PLAZO</t>
  </si>
  <si>
    <t>2 de agosto esperando ajuste de las especificaciones de parte del area
29 DE SEPTIEMBRE EN ESPERA DE LA REVISION DE LA FPA
12-11-2022, LO TIENE PARA REVISION MARCIA 
22-12-2022,Se realiza Acta de Terminación Anticipada por Mutuo Acuerdo en razón a que el proveedor no alcanza a ejecutar el contrato dentro de la presente vigencia fiscal.</t>
  </si>
  <si>
    <t>900-IPU-0466-2022</t>
  </si>
  <si>
    <t xml:space="preserve">3 de agosto reasignado a laura pimienta
28 DE SEPTIEMBRE A LA ESPERA DE LA PROPUESTA POR PARTE DEL PROVEEDOR
12-12-2022, EL PROCESO SE CERRO POR NO PRESENTARSE OFERTAS AL PROCESO </t>
  </si>
  <si>
    <t>0480</t>
  </si>
  <si>
    <t>ANULADO</t>
  </si>
  <si>
    <t>MONICA DHARO</t>
  </si>
  <si>
    <t>0481</t>
  </si>
  <si>
    <t>0482</t>
  </si>
  <si>
    <t xml:space="preserve">28 de septiembre en revision de la fpa e invitacion
12-11-2022, El FPA y La INVITACION PRIVADA ya fueron y se esta en el ajuste de las imputaciones presupuestales con el nuevo CDP expedido a traves de SAP.
16-12-2022, PROCESO CERRADO PORQUE NO SE RECIBIERON COTIZACIONES </t>
  </si>
  <si>
    <t xml:space="preserve">28 DE SEPTIEMBRE EN COTIZACIONES 
12-11-2022, El FPA esta lista para revision y en elaboracion la INVITACION, se recibio por parte del Area las modificaciones a la Ficha de Requerimiento, Presupuesto etc.,se esta en la etapa de solicitud de cotizaciones.
09-12-2022, NO SE RECIBIERON OFERTAS </t>
  </si>
  <si>
    <t>900-IP-0561-2022</t>
  </si>
  <si>
    <t xml:space="preserve">ESTE PROCESO ES POSIBLE QUE SE CIERRE PORQUE NO SE RECIBE LA OFERTA DEL PROVEEDOR INVITADO 
07-12-2022, proceso cerrado mediante acta </t>
  </si>
  <si>
    <t xml:space="preserve">29 de septiembre en espera de la derivad del pacc
10-11-2022, se paso para revision de asesor GAEP
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t>
  </si>
  <si>
    <t>24-11-2022, En revisión de Shara y firma de Gerente Memorando de devolución de requerimiento desde el 24/11/2022 En tramite de firmas de ACTA TERMINACION ANTICIPADA POR MUTUO ACUERDO DE LA ACEPTACION DE OFERTA No  300-AO-2312-2022
ENTRE EMCALI EICE ESP Y AYAPAC CONSTRUCCIONES SAS dentro del proceso 900-IP-0598-2022, debido a que por motivos expresados por el área referente al plazo de ejecución del proceso no se podria ejecutar vigencia 2022, por tanto se decide emitir acta de terminación por mutuo.</t>
  </si>
  <si>
    <t>GTI0054
GTI0009</t>
  </si>
  <si>
    <t xml:space="preserve">PRCESO CERRADO MEDIANTE ACTA DEL 28 DE DICIEMBRE </t>
  </si>
  <si>
    <t>PROCESO CERRADO MEDIANTE ACTA DE CIERRE DEL 22 DE DICIEMBRE FIRMADA POR GERENTE ABASTECIMIENTO (E)</t>
  </si>
  <si>
    <t>GT0138
GT0138
GT0201</t>
  </si>
  <si>
    <t>GHA0078
GHA0193</t>
  </si>
  <si>
    <t xml:space="preserve"> $           356.999.000,00</t>
  </si>
  <si>
    <t xml:space="preserve">ESTA EN EVALUACION DE ITEMS NUEVOS 
16-12-2022-PROCESO CERRADO MEDIANTE ACTA DEL 14 DE DICIEMBRE </t>
  </si>
  <si>
    <t>EMCALI a través de la Gerencia de Abastecimiento Empresarial, se permite comunicar el CIERRE del proceso de invitación a presentar descuento derivado del contrato Marco No. 500-CMA-1743-2021/AO-017-2022, conforme a lo establecido en el artículo 42 del Manual de Contratación de EMCALI.</t>
  </si>
  <si>
    <t>900-IP-0636-2022</t>
  </si>
  <si>
    <t>900-IP-0637-2022</t>
  </si>
  <si>
    <t> Mediante ACTA DE CIERRE, se da por terminado el proceso de invitación, 14/12/2022</t>
  </si>
  <si>
    <t>Cierre de proceso 900-IP-0639-2022  con objeto: Suministro de luminarias y proyectores Led para Sistema de Alumbrado Público.”, mediante acta de cierre de fecha 29 de diciembre de 2022.</t>
  </si>
  <si>
    <t>0645</t>
  </si>
  <si>
    <t>GHA0292</t>
  </si>
  <si>
    <t>900-IP-0645-2022</t>
  </si>
  <si>
    <t>ACTA DE TERMINACION POR MUTUO ACUERDO FIRMADA EL 29 DE DICIEMBRE DE 2022</t>
  </si>
  <si>
    <t>800-AO-2493-2022</t>
  </si>
  <si>
    <t>MASUNION S.A.S</t>
  </si>
  <si>
    <t>AB-2300003091</t>
  </si>
  <si>
    <t>0656</t>
  </si>
  <si>
    <t>FR-300-GAA-0276-2022</t>
  </si>
  <si>
    <t>Ejecutar las obras para la optimización de las redes de acueducto de los barrios Puerto Mallarino, Simon Bolivar, El Lido, Colseguros y Saavedra Galindo</t>
  </si>
  <si>
    <t>0657</t>
  </si>
  <si>
    <t>FR-300-GAA-0278-2022</t>
  </si>
  <si>
    <t>Optimización del Funcionamiento hidraulico y estructural de la red secundaria de alcantarillado y la optimización de la red de acueducto en el barrio San Luis en Santiago de Cali</t>
  </si>
  <si>
    <t>5 DE MAYO A LA ESPERA DE LA REUNION DEL GERENTE DE ACUEDUCTO CON HACIENDA PARA DAR CONTINUIDAD. ESTE PROCESO LO TENIA VIAGNERY 
17 de mayo esperando info del area
9 de junio en elaboracion de fpa y cc
17 DE JUNIO ESPERANDO INFORMACION DEL AREA
18 DE JULIO ES UN PRECALIFICADO Y SE ESTA CONSTRUYENDO
1 de agosto en inteligencia de mercado
28 DE SEPTIEMBRE EN ELABORACION DE FPA Y CC
02-12-2022, se devuelve al area con memorando 900-0529-2022 del 1 de diciembre.</t>
  </si>
  <si>
    <t xml:space="preserve">5 DE MAYO A LA ESPERA DE LA REUNION DEL GERENTE DE ACUEDUCTO CON HACIENDA PARA DAR CONTINUIDAD. ESTE PROCESO LO TENIA VIAGNERY LOPEZ
17 de mayo esperando info del area
9 de junio en elaboracion de fpa y cc
17 DE JUNIO ESPERANDO INFORMACION DEL AREA
18 DE JULIO ES UN PRECALIFICADO Y SE ESTA CONSTRUYENDO
1 de agosto en inteligencia de mercado
28 DE SEPTIEMBRE EN ELABORACION DE FPA Y CC
24-11-2022, POR INSTRUCCIÓN ASESORES GERENCIA GENERAL PROCESOS QUE NO SE VAN A TRAMITAR HASTA QUE AREA ENTREGUE VF, PROCESOS PARA DEVOLUCION AL AEREA 
02-12-2022, se devuelve al area mediante oficion 900-0529-2022 del 1 de diciembre 
</t>
  </si>
  <si>
    <t>900-IPU-0342-2022</t>
  </si>
  <si>
    <t>GE0395</t>
  </si>
  <si>
    <t>El martes 15 de noviembre presentan cotizaciones los proveedores
24-11-2022, EL 17 DE NOVIEMBRE SE PASO PARA REVISION Y FIRMA DE ASESORES GAE.
16-12-2022, esperando respuesta de area desde el 1 de diciembre sobre requisito de idoneidad</t>
  </si>
  <si>
    <t>Se elaboró FPA e INVIACIÓN, pero de acuerdo a instrucciones de jefatura se va a tramitar este año el proceso IP-0640-2022 
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t>
  </si>
  <si>
    <t>0640</t>
  </si>
  <si>
    <t>GHA0290</t>
  </si>
  <si>
    <t>Realizar la compra de un (1) equipo de preción-succión para la Unidad de Recolección de la UENAA</t>
  </si>
  <si>
    <t>900-IP-0640-2022</t>
  </si>
  <si>
    <t> En revisión FPA e INVITACIÓN por Jose Julian desde el 14 de diciembre de 2022. 
30-12-2022, Se realiza devolución de Requerimiento al área el 22 de diciembre de 2022, Devolución de Requerimiento FR-800-214-2022</t>
  </si>
  <si>
    <t>0641</t>
  </si>
  <si>
    <t>GHA0289</t>
  </si>
  <si>
    <t>900-IP-0641-2022</t>
  </si>
  <si>
    <t>Se elaboró FPA e INVIACIÓN, pero de acuerdo a instrucciones de jefatura se va a tramitar este año el proceso IP-0640-2022
30-12-2022 Se realiza devolución de Requerimiento al área el 22 de diciembre de 2022, Devolución de Requerimiento FR-800-214-2022</t>
  </si>
  <si>
    <t>0642</t>
  </si>
  <si>
    <t>GHA0037</t>
  </si>
  <si>
    <t>FR-800-GHA-0197-2022</t>
  </si>
  <si>
    <t>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t>
  </si>
  <si>
    <t>900-IP-0642-2022</t>
  </si>
  <si>
    <t>0644</t>
  </si>
  <si>
    <t>GE0260</t>
  </si>
  <si>
    <t>FR-500-GE-0267-2022</t>
  </si>
  <si>
    <t>Prestación de servicios de Silvicultura de árboles sembrados y seguimiento a epifitas vasculares en Subestación Ladera, cementerio La Aurora y predio La Olga</t>
  </si>
  <si>
    <t>900-IP-0644-2022</t>
  </si>
  <si>
    <t>0647</t>
  </si>
  <si>
    <t>FR-200-GTI-0123-2022</t>
  </si>
  <si>
    <t>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t>
  </si>
  <si>
    <t>FR-500-GE-0280-2022</t>
  </si>
  <si>
    <t xml:space="preserve">Lista de precalificados para el suministro de luminarias y proyectores led para modernizar el sistema de alumbrado publico de santiago de cali </t>
  </si>
  <si>
    <t>0650</t>
  </si>
  <si>
    <t>FR-900-GAE-0063-2022</t>
  </si>
  <si>
    <t>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t>
  </si>
  <si>
    <t>0651</t>
  </si>
  <si>
    <t>GT0259</t>
  </si>
  <si>
    <t>FR-400-GT-0212-2022</t>
  </si>
  <si>
    <t>Suministro e instalación de un sistema para monitorear variables del suelo y ambientales para cultivos urbanos y rurales, por medio de equipos y nodos sustentables con energías alternativas</t>
  </si>
  <si>
    <t>900-IP-0651-2022</t>
  </si>
  <si>
    <t>REVISION FPA E INVITACION Y ESPERA DE CORREPCIÓN FICHA DE REQUERIMIENTO POR PARTE DEL ÁREA</t>
  </si>
  <si>
    <t>400-AO-2492-2022</t>
  </si>
  <si>
    <t>DISTRIELECTRICOS MAVI S.A.S</t>
  </si>
  <si>
    <t>PY-2270000352</t>
  </si>
  <si>
    <t>0652</t>
  </si>
  <si>
    <t>FR-500-GE-0281-2022</t>
  </si>
  <si>
    <t>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t>
  </si>
  <si>
    <t>Revision CC Gae</t>
  </si>
  <si>
    <t>GAA0817</t>
  </si>
  <si>
    <t>FR-300-GAA-0270-2022</t>
  </si>
  <si>
    <t>Suministro de Herramientas para la Unidad de Control Integral de Perdidas de Agua de la GUENAA</t>
  </si>
  <si>
    <t>CMA-1974-2020-300-AO-2513-2022</t>
  </si>
  <si>
    <t>0654</t>
  </si>
  <si>
    <t>FR-300-GAA-0271-2022</t>
  </si>
  <si>
    <t>Suministro de Materiales de Ferreteria para la Unidad de Control Integral de Perdidas de Agua de la GUENNA</t>
  </si>
  <si>
    <t>0655</t>
  </si>
  <si>
    <t>FR-500-GE-0282-2022</t>
  </si>
  <si>
    <t>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t>
  </si>
  <si>
    <t>0658</t>
  </si>
  <si>
    <t>0659</t>
  </si>
  <si>
    <t>Ejecutar las obras para la Optimización de las redes de acueducto de los barrios Puerto Mallarino, Simon Bolivar, El Lido, Colseguros y Saavedra Galindo</t>
  </si>
  <si>
    <t>0660</t>
  </si>
  <si>
    <t>FR-300-GAA-0277-2022</t>
  </si>
  <si>
    <t>Realizar la Interventoria tecnica, administrativa, financiera y legal del contrato que surja del proceso cuyo objeto es realizar la construcción para la optimización de las redes de acueducto en los barrios Puerto Mallarino, Simon Bolivar, El Lido,  Colseguros, Saavedra Galindo</t>
  </si>
  <si>
    <t>0661</t>
  </si>
  <si>
    <t>FR-300-GAA-0279-2022</t>
  </si>
  <si>
    <t>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t>
  </si>
  <si>
    <t>LA UENAA RADICO EL PROCESO PERO NO SE ENCONTRO LA CARPETA</t>
  </si>
  <si>
    <t>AC-2040-2021
800-AO-2433-2022</t>
  </si>
  <si>
    <t>CMA-1974-2020300-AO-2500-2022
CMA-1974-2020-300-AO-2499-2022</t>
  </si>
  <si>
    <t>(en blanco)</t>
  </si>
  <si>
    <t xml:space="preserve"> </t>
  </si>
  <si>
    <t>Jan</t>
  </si>
  <si>
    <t>Feb</t>
  </si>
  <si>
    <t>Mar</t>
  </si>
  <si>
    <t>Apr</t>
  </si>
  <si>
    <t>May</t>
  </si>
  <si>
    <t>Jun</t>
  </si>
  <si>
    <t>Jul</t>
  </si>
  <si>
    <t>Aug</t>
  </si>
  <si>
    <t>(Varios elementos)</t>
  </si>
  <si>
    <t>I</t>
  </si>
  <si>
    <t>II</t>
  </si>
  <si>
    <t>III</t>
  </si>
  <si>
    <t>IV</t>
  </si>
  <si>
    <t>in</t>
  </si>
  <si>
    <t>900-IP-0098-2022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</si>
</sst>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 #,##0;[Red]\-&quot;$&quot;\ #,##0"/>
    <numFmt numFmtId="8" formatCode="&quot;$&quot;\ #,##0.00;[Red]\-&quot;$&quot;\ #,##0.00"/>
    <numFmt numFmtId="42" formatCode="_-&quot;$&quot;\ * #,##0_-;\-&quot;$&quot;\ * #,##0_-;_-&quot;$&quot;\ * &quot;-&quot;_-;_-@_-"/>
    <numFmt numFmtId="44" formatCode="_-&quot;$&quot;\ * #,##0.00_-;\-&quot;$&quot;\ * #,##0.00_-;_-&quot;$&quot;\ * &quot;-&quot;??_-;_-@_-"/>
    <numFmt numFmtId="43" formatCode="_-* #,##0.00_-;\-* #,##0.00_-;_-* &quot;-&quot;??_-;_-@_-"/>
    <numFmt numFmtId="164" formatCode="&quot;$&quot;\ #,##0"/>
    <numFmt numFmtId="165" formatCode="0.0%"/>
    <numFmt numFmtId="166" formatCode="#,##0.0"/>
    <numFmt numFmtId="167" formatCode="#,##0;[Red]#,##0"/>
    <numFmt numFmtId="168" formatCode="0.0"/>
    <numFmt numFmtId="169" formatCode="&quot;$&quot;\ #,##0.0"/>
    <numFmt numFmtId="170" formatCode="_(&quot;$&quot;\ * #,##0_);_(&quot;$&quot;\ * \(#,##0\);_(&quot;$&quot;\ * &quot;-&quot;??_);_(@_)"/>
    <numFmt numFmtId="171" formatCode="&quot;$&quot;\ #,##0.00"/>
    <numFmt numFmtId="172" formatCode="[$-240A]dd\-mmm\-yy"/>
    <numFmt numFmtId="173" formatCode="[$-240A]dd/mm/yyyy"/>
    <numFmt numFmtId="174" formatCode="_(&quot;$ &quot;* #,##0_);_(&quot;$ &quot;* \(#,##0\);_(&quot;$ &quot;* \-??_);_(@_)"/>
    <numFmt numFmtId="175" formatCode="dd/mm/yy"/>
    <numFmt numFmtId="176" formatCode="_-&quot;$&quot;\ * #,##0_-;\-&quot;$&quot;\ * #,##0_-;_-&quot;$&quot;\ * &quot;-&quot;??_-;_-@_-"/>
    <numFmt numFmtId="177" formatCode="&quot;$ &quot;#,##0"/>
    <numFmt numFmtId="178" formatCode="d/mm/yyyy;@"/>
    <numFmt numFmtId="179" formatCode="&quot;$&quot;#,##0"/>
  </numFmts>
  <fonts count="38" x14ac:knownFonts="1">
    <font>
      <sz val="11"/>
      <color theme="1"/>
      <name val="Calibri"/>
      <family val="2"/>
      <scheme val="minor"/>
    </font>
    <font>
      <sz val="11"/>
      <color theme="1"/>
      <name val="Calibri"/>
      <family val="2"/>
      <scheme val="minor"/>
    </font>
    <font>
      <sz val="11"/>
      <name val="Calibri"/>
      <family val="2"/>
      <scheme val="minor"/>
    </font>
    <font>
      <sz val="12"/>
      <color theme="1"/>
      <name val="Calibri"/>
      <family val="2"/>
      <scheme val="minor"/>
    </font>
    <font>
      <b/>
      <sz val="11"/>
      <name val="Calibri"/>
      <family val="2"/>
      <scheme val="minor"/>
    </font>
    <font>
      <b/>
      <sz val="11"/>
      <color theme="1"/>
      <name val="Calibri"/>
      <family val="2"/>
      <scheme val="minor"/>
    </font>
    <font>
      <b/>
      <sz val="12"/>
      <color theme="1"/>
      <name val="Calibri"/>
      <family val="2"/>
      <scheme val="minor"/>
    </font>
    <font>
      <b/>
      <sz val="9"/>
      <name val="Arial"/>
      <family val="2"/>
    </font>
    <font>
      <b/>
      <sz val="9"/>
      <color theme="1"/>
      <name val="Arial"/>
      <family val="2"/>
    </font>
    <font>
      <sz val="9"/>
      <color theme="1"/>
      <name val="Arial"/>
      <family val="2"/>
    </font>
    <font>
      <b/>
      <sz val="9"/>
      <color theme="0"/>
      <name val="Arial"/>
      <family val="2"/>
    </font>
    <font>
      <b/>
      <sz val="14"/>
      <color rgb="FFFF0000"/>
      <name val="Arial"/>
      <family val="2"/>
    </font>
    <font>
      <sz val="8"/>
      <color theme="1"/>
      <name val="Arial"/>
      <family val="2"/>
    </font>
    <font>
      <b/>
      <sz val="8"/>
      <name val="Arial"/>
      <family val="2"/>
    </font>
    <font>
      <b/>
      <sz val="12"/>
      <color theme="1"/>
      <name val="Arial"/>
      <family val="2"/>
    </font>
    <font>
      <sz val="9"/>
      <name val="Arial"/>
      <family val="2"/>
    </font>
    <font>
      <b/>
      <sz val="18"/>
      <name val="Calibri"/>
      <family val="2"/>
      <scheme val="minor"/>
    </font>
    <font>
      <sz val="8"/>
      <color theme="1"/>
      <name val="Calibri"/>
      <family val="2"/>
      <scheme val="minor"/>
    </font>
    <font>
      <b/>
      <sz val="8"/>
      <color theme="1"/>
      <name val="Calibri"/>
      <family val="2"/>
      <scheme val="minor"/>
    </font>
    <font>
      <sz val="10"/>
      <color theme="1"/>
      <name val="Calibri"/>
      <family val="2"/>
      <scheme val="minor"/>
    </font>
    <font>
      <sz val="11"/>
      <color rgb="FF000000"/>
      <name val="Arial"/>
      <family val="2"/>
      <charset val="1"/>
    </font>
    <font>
      <sz val="11"/>
      <color theme="1"/>
      <name val="Calibri"/>
      <family val="2"/>
      <charset val="1"/>
    </font>
    <font>
      <sz val="10"/>
      <color theme="1"/>
      <name val="Arial"/>
      <family val="2"/>
      <charset val="1"/>
    </font>
    <font>
      <sz val="10"/>
      <color theme="1"/>
      <name val="Arial"/>
      <family val="2"/>
    </font>
    <font>
      <sz val="11"/>
      <color rgb="FFFF0000"/>
      <name val="Calibri"/>
      <family val="2"/>
      <scheme val="minor"/>
    </font>
    <font>
      <sz val="11"/>
      <name val="Calibri"/>
      <family val="2"/>
      <charset val="1"/>
    </font>
    <font>
      <sz val="11"/>
      <color rgb="FFFF0000"/>
      <name val="Calibri"/>
      <family val="2"/>
      <charset val="1"/>
    </font>
    <font>
      <b/>
      <sz val="11"/>
      <color rgb="FFFF0000"/>
      <name val="Calibri"/>
      <family val="2"/>
      <charset val="1"/>
    </font>
    <font>
      <sz val="10"/>
      <color rgb="FF000000"/>
      <name val="Calibri"/>
      <family val="2"/>
    </font>
    <font>
      <i/>
      <sz val="11"/>
      <color rgb="FF000000"/>
      <name val="Calibri"/>
      <family val="2"/>
      <charset val="1"/>
    </font>
    <font>
      <b/>
      <sz val="11"/>
      <color theme="0"/>
      <name val="Arial"/>
      <family val="2"/>
    </font>
    <font>
      <b/>
      <sz val="8"/>
      <color theme="1"/>
      <name val="Arial"/>
      <family val="2"/>
    </font>
    <font>
      <sz val="10"/>
      <name val="Arial"/>
      <family val="2"/>
    </font>
    <font>
      <sz val="10"/>
      <color rgb="FFFF0000"/>
      <name val="Arial"/>
      <family val="2"/>
    </font>
    <font>
      <sz val="10"/>
      <color rgb="FF000000"/>
      <name val="Arial"/>
      <family val="2"/>
    </font>
    <font>
      <b/>
      <sz val="9"/>
      <color indexed="81"/>
      <name val="Tahoma"/>
      <family val="2"/>
    </font>
    <font>
      <sz val="9"/>
      <color indexed="81"/>
      <name val="Tahoma"/>
      <family val="2"/>
    </font>
    <font>
      <sz val="11"/>
      <color rgb="FF000000"/>
      <name val="Calibri"/>
      <family val="2"/>
      <charset val="1"/>
      <scheme val="minor"/>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92D050"/>
        <bgColor indexed="64"/>
      </patternFill>
    </fill>
    <fill>
      <patternFill patternType="solid">
        <fgColor theme="0"/>
        <bgColor rgb="FFFBE5D6"/>
      </patternFill>
    </fill>
    <fill>
      <patternFill patternType="solid">
        <fgColor theme="0"/>
        <bgColor rgb="FFFFE699"/>
      </patternFill>
    </fill>
    <fill>
      <patternFill patternType="solid">
        <fgColor theme="0"/>
        <bgColor rgb="FFCCFF66"/>
      </patternFill>
    </fill>
    <fill>
      <patternFill patternType="solid">
        <fgColor theme="0" tint="-0.14999847407452621"/>
        <bgColor rgb="FFF2F2F2"/>
      </patternFill>
    </fill>
    <fill>
      <patternFill patternType="solid">
        <fgColor rgb="FF00B0F0"/>
        <bgColor indexed="64"/>
      </patternFill>
    </fill>
    <fill>
      <patternFill patternType="solid">
        <fgColor rgb="FFFF0000"/>
        <bgColor indexed="64"/>
      </patternFill>
    </fill>
    <fill>
      <patternFill patternType="solid">
        <fgColor theme="0"/>
        <bgColor rgb="FFF2F2F2"/>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theme="1"/>
      </left>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auto="1"/>
      </left>
      <right style="thin">
        <color auto="1"/>
      </right>
      <top style="thin">
        <color auto="1"/>
      </top>
      <bottom/>
      <diagonal/>
    </border>
    <border>
      <left/>
      <right/>
      <top style="thin">
        <color theme="1"/>
      </top>
      <bottom/>
      <diagonal/>
    </border>
  </borders>
  <cellStyleXfs count="8">
    <xf numFmtId="0" fontId="0" fillId="0" borderId="0"/>
    <xf numFmtId="42" fontId="1" fillId="0" borderId="0" applyFont="0" applyFill="0" applyBorder="0" applyAlignment="0" applyProtection="0"/>
    <xf numFmtId="9"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0" fillId="0" borderId="0"/>
  </cellStyleXfs>
  <cellXfs count="514">
    <xf numFmtId="0" fontId="0" fillId="0" borderId="0" xfId="0"/>
    <xf numFmtId="0" fontId="3" fillId="0" borderId="0" xfId="0" applyFont="1" applyAlignment="1">
      <alignment vertical="center"/>
    </xf>
    <xf numFmtId="0" fontId="2" fillId="2" borderId="0" xfId="0" applyFont="1" applyFill="1" applyAlignment="1">
      <alignment horizontal="justify" vertical="center" wrapText="1"/>
    </xf>
    <xf numFmtId="0" fontId="2" fillId="2" borderId="0" xfId="0" applyFont="1" applyFill="1" applyAlignment="1">
      <alignment horizontal="center" vertical="center" wrapText="1"/>
    </xf>
    <xf numFmtId="14" fontId="2" fillId="2" borderId="0" xfId="0" applyNumberFormat="1" applyFont="1" applyFill="1" applyBorder="1" applyAlignment="1">
      <alignment horizontal="center" vertical="center" wrapText="1"/>
    </xf>
    <xf numFmtId="42" fontId="2" fillId="2" borderId="0" xfId="1" applyFont="1" applyFill="1" applyAlignment="1">
      <alignment horizontal="center" vertical="center" wrapText="1"/>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applyNumberFormat="1" applyAlignment="1">
      <alignment horizontal="center" vertical="center"/>
    </xf>
    <xf numFmtId="2" fontId="0" fillId="0" borderId="0" xfId="0" applyNumberFormat="1" applyAlignment="1">
      <alignment horizontal="center" vertical="center"/>
    </xf>
    <xf numFmtId="0" fontId="0" fillId="0" borderId="0" xfId="0" applyAlignment="1">
      <alignment horizontal="center" vertical="center" wrapText="1"/>
    </xf>
    <xf numFmtId="168" fontId="0" fillId="0" borderId="0" xfId="0" applyNumberFormat="1" applyAlignment="1">
      <alignment horizontal="center" vertical="center"/>
    </xf>
    <xf numFmtId="15" fontId="6" fillId="0" borderId="0" xfId="0" applyNumberFormat="1" applyFont="1" applyAlignment="1">
      <alignment horizontal="center" vertical="center"/>
    </xf>
    <xf numFmtId="0" fontId="6" fillId="0" borderId="0" xfId="0" applyFont="1" applyAlignment="1">
      <alignment horizontal="center" vertical="center"/>
    </xf>
    <xf numFmtId="15" fontId="3" fillId="0" borderId="0" xfId="0" applyNumberFormat="1" applyFont="1" applyAlignment="1">
      <alignment horizontal="center" vertical="center"/>
    </xf>
    <xf numFmtId="0" fontId="0" fillId="0" borderId="0" xfId="0" applyAlignment="1">
      <alignment horizontal="left"/>
    </xf>
    <xf numFmtId="0" fontId="9" fillId="0" borderId="0" xfId="0" applyFont="1" applyAlignment="1">
      <alignment vertical="center"/>
    </xf>
    <xf numFmtId="169" fontId="9" fillId="0" borderId="0" xfId="0" applyNumberFormat="1" applyFont="1" applyAlignment="1">
      <alignment vertical="center"/>
    </xf>
    <xf numFmtId="165" fontId="9" fillId="0" borderId="0" xfId="2" applyNumberFormat="1" applyFont="1" applyAlignment="1">
      <alignment vertical="center"/>
    </xf>
    <xf numFmtId="0" fontId="9" fillId="0" borderId="3" xfId="0" applyFont="1" applyBorder="1" applyAlignment="1">
      <alignment horizontal="center" vertical="center"/>
    </xf>
    <xf numFmtId="3" fontId="9" fillId="0" borderId="1" xfId="0" applyNumberFormat="1" applyFont="1" applyBorder="1" applyAlignment="1">
      <alignment horizontal="center" vertical="center"/>
    </xf>
    <xf numFmtId="0" fontId="9" fillId="5" borderId="3" xfId="0" applyFont="1" applyFill="1" applyBorder="1" applyAlignment="1">
      <alignment horizontal="center" vertical="center"/>
    </xf>
    <xf numFmtId="3" fontId="9" fillId="5" borderId="1" xfId="0" applyNumberFormat="1" applyFont="1" applyFill="1" applyBorder="1" applyAlignment="1">
      <alignment horizontal="center" vertical="center"/>
    </xf>
    <xf numFmtId="165" fontId="9" fillId="0" borderId="0" xfId="2" applyNumberFormat="1" applyFont="1" applyAlignment="1">
      <alignment horizontal="center" vertical="center"/>
    </xf>
    <xf numFmtId="0" fontId="9" fillId="0" borderId="1" xfId="0" applyFont="1" applyBorder="1" applyAlignment="1">
      <alignment horizontal="center" vertical="center"/>
    </xf>
    <xf numFmtId="0" fontId="9" fillId="5" borderId="1" xfId="0" applyFont="1" applyFill="1" applyBorder="1" applyAlignment="1">
      <alignment horizontal="center" vertical="center"/>
    </xf>
    <xf numFmtId="3" fontId="9" fillId="0" borderId="0" xfId="0" applyNumberFormat="1" applyFont="1" applyAlignment="1">
      <alignment vertical="center"/>
    </xf>
    <xf numFmtId="166" fontId="9" fillId="0" borderId="1" xfId="0" applyNumberFormat="1" applyFont="1" applyBorder="1" applyAlignment="1">
      <alignment horizontal="center" vertical="center"/>
    </xf>
    <xf numFmtId="166" fontId="9" fillId="5" borderId="1" xfId="0" applyNumberFormat="1" applyFont="1" applyFill="1" applyBorder="1" applyAlignment="1">
      <alignment horizontal="center" vertical="center"/>
    </xf>
    <xf numFmtId="0" fontId="8" fillId="7" borderId="1" xfId="0" applyFont="1" applyFill="1" applyBorder="1" applyAlignment="1">
      <alignment horizontal="center" vertical="center"/>
    </xf>
    <xf numFmtId="0" fontId="9" fillId="2" borderId="1" xfId="0" applyFont="1" applyFill="1" applyBorder="1" applyAlignment="1">
      <alignment horizontal="center" vertical="center"/>
    </xf>
    <xf numFmtId="3" fontId="9" fillId="2" borderId="1" xfId="0" applyNumberFormat="1" applyFont="1" applyFill="1" applyBorder="1" applyAlignment="1">
      <alignment horizontal="center" vertical="center"/>
    </xf>
    <xf numFmtId="166" fontId="9" fillId="2"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3" fontId="8" fillId="4" borderId="1" xfId="0" applyNumberFormat="1" applyFont="1" applyFill="1" applyBorder="1" applyAlignment="1">
      <alignment horizontal="center" vertical="center"/>
    </xf>
    <xf numFmtId="166" fontId="8" fillId="4" borderId="1" xfId="0" applyNumberFormat="1" applyFont="1" applyFill="1" applyBorder="1" applyAlignment="1">
      <alignment horizontal="center" vertical="center"/>
    </xf>
    <xf numFmtId="0" fontId="8" fillId="4" borderId="3" xfId="0" applyFont="1" applyFill="1" applyBorder="1" applyAlignment="1">
      <alignment horizontal="center" vertical="center"/>
    </xf>
    <xf numFmtId="0" fontId="0" fillId="0" borderId="0" xfId="0" pivotButton="1"/>
    <xf numFmtId="0" fontId="0" fillId="0" borderId="0" xfId="0" applyNumberFormat="1"/>
    <xf numFmtId="164" fontId="0" fillId="0" borderId="0" xfId="0" applyNumberFormat="1"/>
    <xf numFmtId="164" fontId="9" fillId="0" borderId="0" xfId="0" applyNumberFormat="1" applyFont="1" applyAlignment="1">
      <alignment vertical="center"/>
    </xf>
    <xf numFmtId="0" fontId="11" fillId="0" borderId="0" xfId="0" applyFont="1" applyAlignment="1">
      <alignment vertical="center"/>
    </xf>
    <xf numFmtId="164" fontId="2" fillId="2" borderId="0" xfId="0" applyNumberFormat="1" applyFont="1" applyFill="1" applyAlignment="1">
      <alignment horizontal="right" vertical="center" wrapText="1"/>
    </xf>
    <xf numFmtId="164" fontId="2" fillId="2" borderId="0" xfId="1" applyNumberFormat="1" applyFont="1" applyFill="1" applyAlignment="1">
      <alignment horizontal="right" vertical="center" wrapText="1"/>
    </xf>
    <xf numFmtId="164" fontId="0" fillId="0" borderId="0" xfId="0" applyNumberFormat="1" applyAlignment="1">
      <alignment vertical="center"/>
    </xf>
    <xf numFmtId="10" fontId="0" fillId="0" borderId="0" xfId="2" applyNumberFormat="1" applyFont="1" applyAlignment="1">
      <alignment vertical="center"/>
    </xf>
    <xf numFmtId="0" fontId="2" fillId="2" borderId="0" xfId="0" applyFont="1" applyFill="1" applyAlignment="1">
      <alignment horizontal="right" vertical="center" wrapText="1"/>
    </xf>
    <xf numFmtId="2" fontId="0" fillId="0" borderId="0" xfId="0" applyNumberFormat="1" applyAlignment="1">
      <alignment vertical="center"/>
    </xf>
    <xf numFmtId="164" fontId="0" fillId="2" borderId="0" xfId="0" applyNumberFormat="1" applyFill="1" applyAlignment="1">
      <alignment vertical="center"/>
    </xf>
    <xf numFmtId="3" fontId="8" fillId="5" borderId="1" xfId="0" applyNumberFormat="1" applyFont="1" applyFill="1" applyBorder="1" applyAlignment="1">
      <alignment horizontal="center" vertical="center"/>
    </xf>
    <xf numFmtId="166" fontId="8" fillId="5" borderId="1" xfId="0" applyNumberFormat="1" applyFont="1" applyFill="1" applyBorder="1" applyAlignment="1">
      <alignment horizontal="center" vertical="center"/>
    </xf>
    <xf numFmtId="165" fontId="12" fillId="0" borderId="0" xfId="2" applyNumberFormat="1" applyFont="1" applyAlignment="1">
      <alignment vertical="center"/>
    </xf>
    <xf numFmtId="0" fontId="9" fillId="0" borderId="0" xfId="0" applyFont="1" applyAlignment="1">
      <alignment horizontal="center" vertical="center"/>
    </xf>
    <xf numFmtId="166" fontId="9" fillId="0" borderId="0" xfId="0" applyNumberFormat="1" applyFont="1" applyAlignment="1">
      <alignment vertical="center"/>
    </xf>
    <xf numFmtId="0" fontId="0" fillId="2" borderId="0" xfId="0" applyFill="1" applyAlignment="1">
      <alignment vertical="center"/>
    </xf>
    <xf numFmtId="10" fontId="9" fillId="0" borderId="0" xfId="0" applyNumberFormat="1" applyFont="1" applyAlignment="1">
      <alignment vertical="center"/>
    </xf>
    <xf numFmtId="0" fontId="8" fillId="0" borderId="0" xfId="0" applyFont="1" applyAlignment="1">
      <alignment horizontal="center" vertical="center"/>
    </xf>
    <xf numFmtId="0" fontId="8" fillId="2" borderId="0" xfId="0" applyFont="1" applyFill="1" applyBorder="1" applyAlignment="1">
      <alignment horizontal="center" vertical="center"/>
    </xf>
    <xf numFmtId="3" fontId="8" fillId="2" borderId="0" xfId="0" applyNumberFormat="1" applyFont="1" applyFill="1" applyBorder="1" applyAlignment="1">
      <alignment horizontal="center" vertical="center"/>
    </xf>
    <xf numFmtId="169" fontId="8" fillId="2" borderId="0" xfId="0" applyNumberFormat="1" applyFont="1" applyFill="1" applyBorder="1" applyAlignment="1">
      <alignment horizontal="right" vertical="center"/>
    </xf>
    <xf numFmtId="0" fontId="9" fillId="2" borderId="0" xfId="0" applyFont="1" applyFill="1" applyAlignment="1">
      <alignment vertical="center"/>
    </xf>
    <xf numFmtId="0" fontId="9" fillId="2" borderId="3" xfId="0" applyFont="1" applyFill="1" applyBorder="1" applyAlignment="1">
      <alignment horizontal="center" vertical="center"/>
    </xf>
    <xf numFmtId="10" fontId="0" fillId="0" borderId="0" xfId="2" applyNumberFormat="1" applyFont="1" applyAlignment="1">
      <alignment horizontal="center" vertical="center"/>
    </xf>
    <xf numFmtId="164" fontId="0" fillId="0" borderId="0" xfId="0" applyNumberFormat="1" applyAlignment="1">
      <alignment horizontal="center"/>
    </xf>
    <xf numFmtId="0" fontId="13" fillId="6" borderId="1" xfId="0" applyFont="1" applyFill="1" applyBorder="1" applyAlignment="1">
      <alignment horizontal="center" vertical="center" wrapText="1"/>
    </xf>
    <xf numFmtId="0" fontId="0" fillId="2" borderId="0" xfId="0" applyFill="1" applyAlignment="1">
      <alignment horizontal="center" vertical="center" wrapText="1"/>
    </xf>
    <xf numFmtId="0" fontId="8" fillId="6" borderId="15" xfId="0" applyFont="1" applyFill="1" applyBorder="1" applyAlignment="1">
      <alignment horizontal="center" vertical="center"/>
    </xf>
    <xf numFmtId="0" fontId="8" fillId="6" borderId="16" xfId="0" applyFont="1" applyFill="1" applyBorder="1" applyAlignment="1">
      <alignment horizontal="center" vertical="center"/>
    </xf>
    <xf numFmtId="15" fontId="3" fillId="0" borderId="0" xfId="0" applyNumberFormat="1" applyFont="1" applyAlignment="1">
      <alignment horizontal="left" vertical="center"/>
    </xf>
    <xf numFmtId="15" fontId="3" fillId="3" borderId="0" xfId="0" applyNumberFormat="1" applyFont="1" applyFill="1" applyAlignment="1">
      <alignment horizontal="center" vertical="center"/>
    </xf>
    <xf numFmtId="15" fontId="3" fillId="3" borderId="0" xfId="0" applyNumberFormat="1" applyFont="1" applyFill="1" applyAlignment="1">
      <alignment horizontal="left" vertical="center"/>
    </xf>
    <xf numFmtId="14" fontId="2" fillId="2" borderId="18" xfId="0" applyNumberFormat="1" applyFont="1" applyFill="1" applyBorder="1" applyAlignment="1">
      <alignment horizontal="center" vertical="center" wrapText="1"/>
    </xf>
    <xf numFmtId="0" fontId="4" fillId="2" borderId="0" xfId="0" applyFont="1" applyFill="1" applyAlignment="1">
      <alignment horizontal="center" vertical="center" wrapText="1"/>
    </xf>
    <xf numFmtId="0" fontId="0" fillId="0" borderId="0" xfId="0" applyAlignment="1">
      <alignment horizontal="center" vertical="center"/>
    </xf>
    <xf numFmtId="0" fontId="0" fillId="0" borderId="0" xfId="0" pivotButton="1" applyAlignment="1">
      <alignment horizontal="center" vertical="center" wrapText="1"/>
    </xf>
    <xf numFmtId="0" fontId="2" fillId="2" borderId="0" xfId="0" applyFont="1" applyFill="1" applyBorder="1" applyAlignment="1">
      <alignment horizontal="justify" vertical="center" wrapText="1"/>
    </xf>
    <xf numFmtId="167" fontId="4" fillId="2" borderId="0" xfId="0" applyNumberFormat="1" applyFont="1" applyFill="1" applyBorder="1" applyAlignment="1">
      <alignment horizontal="center" vertical="center" wrapText="1"/>
    </xf>
    <xf numFmtId="3" fontId="17" fillId="0" borderId="0" xfId="0" applyNumberFormat="1" applyFont="1" applyAlignment="1">
      <alignment vertical="center"/>
    </xf>
    <xf numFmtId="0" fontId="17" fillId="0" borderId="0" xfId="0" applyFont="1" applyAlignment="1">
      <alignment vertical="center"/>
    </xf>
    <xf numFmtId="0" fontId="17" fillId="0" borderId="0" xfId="0" pivotButton="1" applyFont="1" applyAlignment="1">
      <alignment vertical="center"/>
    </xf>
    <xf numFmtId="0" fontId="17" fillId="0" borderId="0" xfId="0" applyFont="1" applyAlignment="1">
      <alignment vertical="center" wrapText="1"/>
    </xf>
    <xf numFmtId="3" fontId="17" fillId="0" borderId="0" xfId="0" pivotButton="1" applyNumberFormat="1" applyFont="1" applyAlignment="1">
      <alignment vertical="center" wrapText="1"/>
    </xf>
    <xf numFmtId="3" fontId="17" fillId="0" borderId="0" xfId="0" applyNumberFormat="1" applyFont="1" applyAlignment="1">
      <alignment vertical="center" wrapText="1"/>
    </xf>
    <xf numFmtId="0" fontId="17" fillId="0" borderId="0" xfId="0" applyFont="1" applyAlignment="1">
      <alignment horizontal="center" vertical="center" wrapText="1"/>
    </xf>
    <xf numFmtId="3" fontId="17" fillId="0" borderId="0" xfId="0" applyNumberFormat="1" applyFont="1" applyAlignment="1">
      <alignment horizontal="center" vertical="center" wrapText="1"/>
    </xf>
    <xf numFmtId="0" fontId="17" fillId="0" borderId="0" xfId="0" pivotButton="1" applyFont="1" applyAlignment="1">
      <alignment horizontal="center" vertical="center" wrapText="1"/>
    </xf>
    <xf numFmtId="0" fontId="17" fillId="0" borderId="0" xfId="0" applyFont="1" applyAlignment="1">
      <alignment horizontal="left" vertical="center"/>
    </xf>
    <xf numFmtId="0" fontId="17" fillId="0" borderId="0" xfId="0" pivotButton="1" applyFont="1" applyAlignment="1">
      <alignment vertical="center" wrapText="1"/>
    </xf>
    <xf numFmtId="4" fontId="0" fillId="0" borderId="0" xfId="0" applyNumberFormat="1" applyAlignment="1">
      <alignment horizontal="center" vertical="center"/>
    </xf>
    <xf numFmtId="0" fontId="2" fillId="2" borderId="0" xfId="0" applyFont="1" applyFill="1" applyAlignment="1">
      <alignment horizontal="justify" vertical="center"/>
    </xf>
    <xf numFmtId="171" fontId="0" fillId="0" borderId="0" xfId="0" applyNumberFormat="1"/>
    <xf numFmtId="43" fontId="9" fillId="5" borderId="1" xfId="6" applyNumberFormat="1" applyFont="1" applyFill="1" applyBorder="1" applyAlignment="1">
      <alignment horizontal="center" vertical="center"/>
    </xf>
    <xf numFmtId="43" fontId="9" fillId="2" borderId="1" xfId="6" applyNumberFormat="1" applyFont="1" applyFill="1" applyBorder="1" applyAlignment="1">
      <alignment horizontal="center" vertical="center"/>
    </xf>
    <xf numFmtId="0" fontId="13" fillId="7" borderId="1" xfId="0" applyFont="1" applyFill="1" applyBorder="1" applyAlignment="1">
      <alignment horizontal="center" vertical="center" wrapText="1"/>
    </xf>
    <xf numFmtId="0" fontId="2" fillId="2" borderId="0" xfId="0" applyFont="1" applyFill="1" applyAlignment="1">
      <alignment horizontal="left" vertical="center" wrapText="1"/>
    </xf>
    <xf numFmtId="0" fontId="0" fillId="2" borderId="1" xfId="0" applyFont="1" applyFill="1" applyBorder="1" applyAlignment="1">
      <alignment horizontal="center" vertical="center" wrapText="1"/>
    </xf>
    <xf numFmtId="14" fontId="0" fillId="2" borderId="1" xfId="0" applyNumberFormat="1" applyFont="1" applyFill="1" applyBorder="1" applyAlignment="1">
      <alignment horizontal="center" vertical="center"/>
    </xf>
    <xf numFmtId="14" fontId="1" fillId="2" borderId="1" xfId="3" applyNumberFormat="1" applyFont="1" applyFill="1" applyBorder="1" applyAlignment="1">
      <alignment horizontal="center" vertical="center" wrapText="1"/>
    </xf>
    <xf numFmtId="0" fontId="0" fillId="2" borderId="1" xfId="0" applyFont="1" applyFill="1" applyBorder="1" applyAlignment="1">
      <alignment horizontal="center" vertical="center"/>
    </xf>
    <xf numFmtId="1" fontId="0" fillId="2" borderId="1" xfId="0" applyNumberFormat="1" applyFont="1" applyFill="1" applyBorder="1" applyAlignment="1">
      <alignment horizontal="center" vertical="center"/>
    </xf>
    <xf numFmtId="164" fontId="0" fillId="2" borderId="0" xfId="0" applyNumberFormat="1" applyFill="1" applyAlignment="1">
      <alignment horizontal="center" vertical="center"/>
    </xf>
    <xf numFmtId="0" fontId="13" fillId="7" borderId="1" xfId="0" applyFont="1" applyFill="1" applyBorder="1" applyAlignment="1">
      <alignment horizontal="center" vertical="center" wrapText="1"/>
    </xf>
    <xf numFmtId="167" fontId="4" fillId="9" borderId="18" xfId="0" applyNumberFormat="1" applyFont="1" applyFill="1" applyBorder="1" applyAlignment="1">
      <alignment horizontal="center" vertical="center" wrapText="1"/>
    </xf>
    <xf numFmtId="167" fontId="4" fillId="10" borderId="18" xfId="0" applyNumberFormat="1" applyFont="1" applyFill="1" applyBorder="1" applyAlignment="1">
      <alignment horizontal="center" vertical="center" wrapText="1"/>
    </xf>
    <xf numFmtId="0" fontId="4" fillId="10" borderId="18" xfId="0" applyFont="1" applyFill="1" applyBorder="1" applyAlignment="1">
      <alignment horizontal="center" vertical="center" wrapText="1"/>
    </xf>
    <xf numFmtId="0" fontId="4" fillId="9" borderId="18" xfId="0" applyFont="1" applyFill="1" applyBorder="1" applyAlignment="1">
      <alignment horizontal="center" vertical="center" wrapText="1"/>
    </xf>
    <xf numFmtId="164" fontId="4" fillId="9" borderId="18" xfId="3" applyNumberFormat="1" applyFont="1" applyFill="1" applyBorder="1" applyAlignment="1">
      <alignment horizontal="center" vertical="center" wrapText="1"/>
    </xf>
    <xf numFmtId="167" fontId="4" fillId="9" borderId="18" xfId="0" applyNumberFormat="1" applyFont="1" applyFill="1" applyBorder="1" applyAlignment="1">
      <alignment horizontal="center" vertical="center"/>
    </xf>
    <xf numFmtId="10" fontId="5" fillId="0" borderId="0" xfId="2" applyNumberFormat="1" applyFont="1" applyAlignment="1">
      <alignment horizontal="center" vertical="center"/>
    </xf>
    <xf numFmtId="49" fontId="0" fillId="2" borderId="1" xfId="0" applyNumberFormat="1" applyFont="1" applyFill="1" applyBorder="1" applyAlignment="1">
      <alignment horizontal="center" vertical="center" wrapText="1"/>
    </xf>
    <xf numFmtId="0" fontId="0" fillId="2" borderId="1" xfId="0" applyFont="1" applyFill="1" applyBorder="1" applyAlignment="1" applyProtection="1">
      <alignment horizontal="center" vertical="center" wrapText="1"/>
      <protection locked="0"/>
    </xf>
    <xf numFmtId="175" fontId="0" fillId="2" borderId="1" xfId="0" applyNumberFormat="1" applyFont="1" applyFill="1" applyBorder="1" applyAlignment="1">
      <alignment horizontal="center" vertical="center"/>
    </xf>
    <xf numFmtId="49" fontId="0" fillId="13" borderId="1" xfId="0" applyNumberFormat="1" applyFont="1" applyFill="1" applyBorder="1" applyAlignment="1">
      <alignment horizontal="center" vertical="center" wrapText="1"/>
    </xf>
    <xf numFmtId="0" fontId="0" fillId="13" borderId="1" xfId="0" applyFont="1" applyFill="1" applyBorder="1" applyAlignment="1">
      <alignment horizontal="center" vertical="center"/>
    </xf>
    <xf numFmtId="0" fontId="0" fillId="13" borderId="1" xfId="0" applyFont="1" applyFill="1" applyBorder="1" applyAlignment="1">
      <alignment horizontal="center" vertical="center" wrapText="1"/>
    </xf>
    <xf numFmtId="0" fontId="0" fillId="14" borderId="1" xfId="0" applyFont="1" applyFill="1" applyBorder="1" applyAlignment="1">
      <alignment horizontal="center" vertical="center"/>
    </xf>
    <xf numFmtId="49" fontId="0" fillId="14" borderId="1" xfId="0" applyNumberFormat="1" applyFont="1" applyFill="1" applyBorder="1" applyAlignment="1">
      <alignment horizontal="center" vertical="center" wrapText="1"/>
    </xf>
    <xf numFmtId="0" fontId="0" fillId="14" borderId="1" xfId="0" applyFont="1" applyFill="1" applyBorder="1" applyAlignment="1">
      <alignment horizontal="center" vertical="center" wrapText="1"/>
    </xf>
    <xf numFmtId="173" fontId="0" fillId="2" borderId="1" xfId="0" applyNumberFormat="1" applyFont="1" applyFill="1" applyBorder="1" applyAlignment="1">
      <alignment horizontal="center" vertical="center"/>
    </xf>
    <xf numFmtId="0" fontId="0" fillId="15" borderId="1" xfId="0" applyFont="1" applyFill="1" applyBorder="1" applyAlignment="1">
      <alignment horizontal="center" vertical="center" wrapText="1"/>
    </xf>
    <xf numFmtId="14" fontId="0" fillId="14" borderId="1" xfId="0" applyNumberFormat="1" applyFont="1" applyFill="1" applyBorder="1" applyAlignment="1">
      <alignment horizontal="center" vertical="center"/>
    </xf>
    <xf numFmtId="0" fontId="17" fillId="0" borderId="0" xfId="0" pivotButton="1" applyFont="1" applyAlignment="1">
      <alignment horizontal="center" vertical="center"/>
    </xf>
    <xf numFmtId="3" fontId="17" fillId="0" borderId="0" xfId="0" applyNumberFormat="1" applyFont="1" applyAlignment="1">
      <alignment horizontal="center" vertical="center"/>
    </xf>
    <xf numFmtId="0" fontId="17" fillId="0" borderId="0" xfId="0" applyFont="1" applyAlignment="1">
      <alignment horizontal="center" vertical="center"/>
    </xf>
    <xf numFmtId="176" fontId="2" fillId="2" borderId="0" xfId="5" applyNumberFormat="1" applyFont="1" applyFill="1" applyAlignment="1">
      <alignment horizontal="right" vertical="center" wrapText="1"/>
    </xf>
    <xf numFmtId="176" fontId="4" fillId="10" borderId="18" xfId="5" applyNumberFormat="1" applyFont="1" applyFill="1" applyBorder="1" applyAlignment="1">
      <alignment horizontal="center" vertical="center" wrapText="1"/>
    </xf>
    <xf numFmtId="10" fontId="1" fillId="0" borderId="0" xfId="2" applyNumberFormat="1" applyFont="1" applyAlignment="1">
      <alignment horizontal="center" vertical="center"/>
    </xf>
    <xf numFmtId="166" fontId="9" fillId="5" borderId="1" xfId="6" applyNumberFormat="1" applyFont="1" applyFill="1" applyBorder="1" applyAlignment="1">
      <alignment horizontal="center" vertical="center"/>
    </xf>
    <xf numFmtId="166" fontId="9" fillId="2" borderId="1" xfId="6" applyNumberFormat="1" applyFont="1" applyFill="1" applyBorder="1" applyAlignment="1">
      <alignment horizontal="center" vertical="center"/>
    </xf>
    <xf numFmtId="166" fontId="9" fillId="11" borderId="1" xfId="6" applyNumberFormat="1" applyFont="1" applyFill="1" applyBorder="1" applyAlignment="1">
      <alignment horizontal="center" vertical="center"/>
    </xf>
    <xf numFmtId="49" fontId="0" fillId="2" borderId="1" xfId="0" applyNumberFormat="1" applyFont="1" applyFill="1" applyBorder="1" applyAlignment="1">
      <alignment horizontal="center" vertical="center"/>
    </xf>
    <xf numFmtId="1" fontId="0" fillId="2" borderId="1" xfId="0" applyNumberFormat="1" applyFont="1" applyFill="1" applyBorder="1" applyAlignment="1" applyProtection="1">
      <alignment horizontal="center" vertical="center" wrapText="1"/>
      <protection locked="0"/>
    </xf>
    <xf numFmtId="0" fontId="0" fillId="2" borderId="1" xfId="0" applyFont="1" applyFill="1" applyBorder="1" applyAlignment="1">
      <alignment horizontal="center" vertical="top" wrapText="1"/>
    </xf>
    <xf numFmtId="0" fontId="0" fillId="14" borderId="1" xfId="0" applyFont="1" applyFill="1" applyBorder="1" applyAlignment="1">
      <alignment horizontal="center" vertical="top" wrapText="1"/>
    </xf>
    <xf numFmtId="0" fontId="0" fillId="13" borderId="1" xfId="0" applyFont="1" applyFill="1" applyBorder="1" applyAlignment="1">
      <alignment horizontal="center" vertical="top" wrapText="1"/>
    </xf>
    <xf numFmtId="49" fontId="0" fillId="2" borderId="1" xfId="0" applyNumberFormat="1" applyFont="1" applyFill="1" applyBorder="1" applyAlignment="1">
      <alignment horizontal="center" vertical="top" wrapText="1"/>
    </xf>
    <xf numFmtId="15" fontId="0" fillId="2" borderId="1" xfId="0" applyNumberFormat="1" applyFont="1" applyFill="1" applyBorder="1" applyAlignment="1">
      <alignment horizontal="center" vertical="center"/>
    </xf>
    <xf numFmtId="0" fontId="0" fillId="2" borderId="1" xfId="0" applyFont="1" applyFill="1" applyBorder="1" applyAlignment="1">
      <alignment vertical="center"/>
    </xf>
    <xf numFmtId="0" fontId="0" fillId="2" borderId="1" xfId="0" applyNumberFormat="1" applyFont="1" applyFill="1" applyBorder="1" applyAlignment="1" applyProtection="1">
      <alignment horizontal="center" vertical="center" wrapText="1"/>
      <protection locked="0"/>
    </xf>
    <xf numFmtId="15" fontId="0" fillId="2" borderId="1" xfId="0" applyNumberFormat="1" applyFont="1" applyFill="1" applyBorder="1" applyAlignment="1">
      <alignment horizontal="center" vertical="center" wrapText="1"/>
    </xf>
    <xf numFmtId="14" fontId="0" fillId="2" borderId="1" xfId="0" applyNumberFormat="1" applyFont="1" applyFill="1" applyBorder="1" applyAlignment="1">
      <alignment horizontal="center" vertical="center" wrapText="1"/>
    </xf>
    <xf numFmtId="172" fontId="0"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1" fontId="21" fillId="2" borderId="1" xfId="3" applyNumberFormat="1" applyFont="1" applyFill="1" applyBorder="1" applyAlignment="1" applyProtection="1">
      <alignment horizontal="center" vertical="center" wrapText="1"/>
    </xf>
    <xf numFmtId="0" fontId="0" fillId="2" borderId="1" xfId="0" applyFont="1" applyFill="1" applyBorder="1" applyAlignment="1">
      <alignment horizontal="left" vertical="top" wrapText="1"/>
    </xf>
    <xf numFmtId="0" fontId="0" fillId="2" borderId="1" xfId="0" applyFont="1" applyFill="1" applyBorder="1" applyAlignment="1">
      <alignment vertical="center" wrapText="1"/>
    </xf>
    <xf numFmtId="14" fontId="0" fillId="2" borderId="1" xfId="0" applyNumberFormat="1" applyFont="1" applyFill="1" applyBorder="1" applyAlignment="1">
      <alignment vertical="center"/>
    </xf>
    <xf numFmtId="0" fontId="0" fillId="2" borderId="1" xfId="0" applyFont="1" applyFill="1" applyBorder="1" applyAlignment="1" applyProtection="1">
      <alignment horizontal="center" vertical="center"/>
      <protection locked="0"/>
    </xf>
    <xf numFmtId="0" fontId="22" fillId="2" borderId="1" xfId="0" applyFont="1" applyFill="1" applyBorder="1" applyAlignment="1">
      <alignment horizontal="center" vertical="center" wrapText="1"/>
    </xf>
    <xf numFmtId="172" fontId="0" fillId="14" borderId="1" xfId="0" applyNumberFormat="1" applyFont="1" applyFill="1" applyBorder="1" applyAlignment="1">
      <alignment horizontal="center" vertical="center" wrapText="1"/>
    </xf>
    <xf numFmtId="0" fontId="21" fillId="14" borderId="1" xfId="0" applyFont="1" applyFill="1" applyBorder="1" applyAlignment="1">
      <alignment horizontal="center" vertical="center" wrapText="1"/>
    </xf>
    <xf numFmtId="1" fontId="21" fillId="14" borderId="1" xfId="3" applyNumberFormat="1" applyFont="1" applyFill="1" applyBorder="1" applyAlignment="1" applyProtection="1">
      <alignment horizontal="center" vertical="center" wrapText="1"/>
    </xf>
    <xf numFmtId="172" fontId="0" fillId="13" borderId="1" xfId="0" applyNumberFormat="1" applyFont="1" applyFill="1" applyBorder="1" applyAlignment="1">
      <alignment horizontal="center" vertical="center" wrapText="1"/>
    </xf>
    <xf numFmtId="173" fontId="0" fillId="13" borderId="1" xfId="0" applyNumberFormat="1" applyFont="1" applyFill="1" applyBorder="1" applyAlignment="1">
      <alignment horizontal="center" vertical="center"/>
    </xf>
    <xf numFmtId="1" fontId="21" fillId="13" borderId="1" xfId="3" applyNumberFormat="1" applyFont="1" applyFill="1" applyBorder="1" applyAlignment="1" applyProtection="1">
      <alignment horizontal="center" vertical="center" wrapText="1"/>
    </xf>
    <xf numFmtId="0" fontId="0" fillId="2" borderId="0" xfId="0" applyFont="1" applyFill="1" applyBorder="1" applyAlignment="1">
      <alignment horizontal="justify" vertical="center" wrapText="1"/>
    </xf>
    <xf numFmtId="1" fontId="0" fillId="2" borderId="0" xfId="0" applyNumberFormat="1" applyFont="1" applyFill="1" applyBorder="1" applyAlignment="1" applyProtection="1">
      <alignment horizontal="center" vertical="center" wrapText="1"/>
      <protection locked="0"/>
    </xf>
    <xf numFmtId="0" fontId="0" fillId="2" borderId="0" xfId="0" applyFont="1" applyFill="1" applyAlignment="1">
      <alignment horizontal="center" vertical="center" wrapText="1"/>
    </xf>
    <xf numFmtId="0" fontId="0" fillId="2" borderId="0" xfId="0" applyFont="1" applyFill="1" applyAlignment="1">
      <alignment horizontal="left" vertical="center" wrapText="1"/>
    </xf>
    <xf numFmtId="0" fontId="0" fillId="2" borderId="0" xfId="0" applyFont="1" applyFill="1" applyAlignment="1">
      <alignment horizontal="justify" vertical="center" wrapText="1"/>
    </xf>
    <xf numFmtId="0" fontId="0" fillId="2" borderId="0" xfId="0" applyFont="1" applyFill="1" applyBorder="1" applyAlignment="1" applyProtection="1">
      <alignment horizontal="center" vertical="center" wrapText="1"/>
      <protection locked="0"/>
    </xf>
    <xf numFmtId="0" fontId="0" fillId="2" borderId="0" xfId="0" applyFont="1" applyFill="1" applyBorder="1" applyAlignment="1">
      <alignment horizontal="center" vertical="center" wrapText="1"/>
    </xf>
    <xf numFmtId="0" fontId="0" fillId="2" borderId="0" xfId="0" applyFont="1" applyFill="1" applyBorder="1" applyAlignment="1">
      <alignment horizontal="left" vertical="center" wrapText="1"/>
    </xf>
    <xf numFmtId="42" fontId="1" fillId="2" borderId="1" xfId="3" applyFont="1" applyFill="1" applyBorder="1" applyAlignment="1">
      <alignment horizontal="center" vertical="center" wrapText="1"/>
    </xf>
    <xf numFmtId="164" fontId="1" fillId="2" borderId="1" xfId="5" applyNumberFormat="1" applyFont="1" applyFill="1" applyBorder="1" applyAlignment="1">
      <alignment horizontal="right" vertical="center" wrapText="1"/>
    </xf>
    <xf numFmtId="1" fontId="1" fillId="2" borderId="1" xfId="3" applyNumberFormat="1" applyFont="1" applyFill="1" applyBorder="1" applyAlignment="1">
      <alignment horizontal="center" vertical="center" wrapText="1"/>
    </xf>
    <xf numFmtId="165" fontId="1" fillId="2" borderId="1" xfId="2" applyNumberFormat="1" applyFont="1" applyFill="1" applyBorder="1" applyAlignment="1">
      <alignment horizontal="center" vertical="center" wrapText="1"/>
    </xf>
    <xf numFmtId="174" fontId="1" fillId="2" borderId="1" xfId="5" applyNumberFormat="1" applyFont="1" applyFill="1" applyBorder="1" applyAlignment="1" applyProtection="1">
      <alignment horizontal="center" vertical="center" wrapText="1"/>
    </xf>
    <xf numFmtId="174" fontId="1" fillId="2" borderId="1" xfId="5" applyNumberFormat="1" applyFont="1" applyFill="1" applyBorder="1" applyAlignment="1" applyProtection="1">
      <alignment horizontal="center" vertical="center"/>
    </xf>
    <xf numFmtId="1" fontId="1" fillId="2" borderId="1" xfId="3" applyNumberFormat="1" applyFont="1" applyFill="1" applyBorder="1" applyAlignment="1" applyProtection="1">
      <alignment horizontal="center" vertical="center" wrapText="1"/>
    </xf>
    <xf numFmtId="173" fontId="1" fillId="2" borderId="1" xfId="3" applyNumberFormat="1" applyFont="1" applyFill="1" applyBorder="1" applyAlignment="1" applyProtection="1">
      <alignment horizontal="center" vertical="center" wrapText="1"/>
    </xf>
    <xf numFmtId="170" fontId="1" fillId="2" borderId="1" xfId="5" applyNumberFormat="1" applyFont="1" applyFill="1" applyBorder="1" applyAlignment="1">
      <alignment horizontal="center" vertical="center" wrapText="1"/>
    </xf>
    <xf numFmtId="170" fontId="1" fillId="2" borderId="1" xfId="5" applyNumberFormat="1" applyFont="1" applyFill="1" applyBorder="1" applyAlignment="1">
      <alignment horizontal="center" vertical="center"/>
    </xf>
    <xf numFmtId="1" fontId="1" fillId="2" borderId="1" xfId="3" applyNumberFormat="1" applyFont="1" applyFill="1" applyBorder="1" applyAlignment="1">
      <alignment horizontal="center" vertical="center"/>
    </xf>
    <xf numFmtId="1" fontId="1" fillId="14" borderId="1" xfId="3" applyNumberFormat="1" applyFont="1" applyFill="1" applyBorder="1" applyAlignment="1" applyProtection="1">
      <alignment horizontal="center" vertical="center" wrapText="1"/>
    </xf>
    <xf numFmtId="171" fontId="1" fillId="2" borderId="1" xfId="5" applyNumberFormat="1" applyFont="1" applyFill="1" applyBorder="1" applyAlignment="1" applyProtection="1">
      <alignment vertical="center"/>
    </xf>
    <xf numFmtId="174" fontId="1" fillId="13" borderId="1" xfId="5" applyNumberFormat="1" applyFont="1" applyFill="1" applyBorder="1" applyAlignment="1" applyProtection="1">
      <alignment horizontal="center" vertical="center" wrapText="1"/>
    </xf>
    <xf numFmtId="1" fontId="1" fillId="13" borderId="1" xfId="3" applyNumberFormat="1" applyFont="1" applyFill="1" applyBorder="1" applyAlignment="1" applyProtection="1">
      <alignment horizontal="center" vertical="center" wrapText="1"/>
    </xf>
    <xf numFmtId="174" fontId="1" fillId="2" borderId="1" xfId="5" applyNumberFormat="1" applyFont="1" applyFill="1" applyBorder="1" applyAlignment="1">
      <alignment horizontal="center" vertical="center" wrapText="1"/>
    </xf>
    <xf numFmtId="174" fontId="1" fillId="2" borderId="1" xfId="5" applyNumberFormat="1" applyFont="1" applyFill="1" applyBorder="1" applyAlignment="1">
      <alignment horizontal="center" vertical="center"/>
    </xf>
    <xf numFmtId="176" fontId="0" fillId="2" borderId="1" xfId="5" applyNumberFormat="1" applyFont="1" applyFill="1" applyBorder="1" applyAlignment="1" applyProtection="1">
      <alignment horizontal="right" vertical="center" wrapText="1"/>
      <protection locked="0"/>
    </xf>
    <xf numFmtId="176" fontId="2" fillId="2" borderId="0" xfId="5" applyNumberFormat="1" applyFont="1" applyFill="1" applyAlignment="1">
      <alignment horizontal="justify" vertical="center" wrapText="1"/>
    </xf>
    <xf numFmtId="173" fontId="0" fillId="2" borderId="1" xfId="3" applyNumberFormat="1" applyFont="1" applyFill="1" applyBorder="1" applyAlignment="1" applyProtection="1">
      <alignment horizontal="center" vertical="center" wrapText="1"/>
    </xf>
    <xf numFmtId="165" fontId="1" fillId="0" borderId="0" xfId="2" applyNumberFormat="1" applyFont="1" applyAlignment="1">
      <alignment horizontal="center" vertical="center"/>
    </xf>
    <xf numFmtId="174" fontId="0" fillId="2" borderId="1" xfId="5" applyNumberFormat="1" applyFont="1" applyFill="1" applyBorder="1" applyAlignment="1" applyProtection="1">
      <alignment horizontal="center" vertical="center"/>
    </xf>
    <xf numFmtId="1" fontId="0" fillId="2" borderId="1" xfId="3" applyNumberFormat="1" applyFont="1" applyFill="1" applyBorder="1" applyAlignment="1" applyProtection="1">
      <alignment horizontal="center" vertical="center" wrapText="1"/>
    </xf>
    <xf numFmtId="1" fontId="25" fillId="2" borderId="1" xfId="3" applyNumberFormat="1" applyFont="1" applyFill="1" applyBorder="1" applyAlignment="1" applyProtection="1">
      <alignment horizontal="center" vertical="center" wrapText="1"/>
    </xf>
    <xf numFmtId="0" fontId="0" fillId="2" borderId="1" xfId="0" applyFill="1" applyBorder="1" applyAlignment="1">
      <alignment horizontal="center" vertical="center" wrapText="1"/>
    </xf>
    <xf numFmtId="172" fontId="0" fillId="2" borderId="1" xfId="0" applyNumberFormat="1" applyFill="1" applyBorder="1" applyAlignment="1">
      <alignment horizontal="center" vertical="center" wrapText="1"/>
    </xf>
    <xf numFmtId="174" fontId="0" fillId="2" borderId="1" xfId="5" applyNumberFormat="1" applyFont="1" applyFill="1" applyBorder="1" applyAlignment="1" applyProtection="1">
      <alignment horizontal="center" vertical="center" wrapText="1"/>
    </xf>
    <xf numFmtId="0" fontId="26" fillId="2" borderId="1" xfId="0" applyFont="1" applyFill="1" applyBorder="1" applyAlignment="1">
      <alignment horizontal="center" vertical="center" wrapText="1"/>
    </xf>
    <xf numFmtId="173" fontId="0" fillId="2" borderId="1" xfId="0" applyNumberFormat="1" applyFill="1" applyBorder="1" applyAlignment="1">
      <alignment horizontal="center" vertical="center"/>
    </xf>
    <xf numFmtId="0" fontId="0" fillId="2" borderId="1" xfId="0" applyFill="1" applyBorder="1" applyAlignment="1">
      <alignment vertical="center"/>
    </xf>
    <xf numFmtId="0" fontId="0" fillId="2" borderId="1" xfId="0" applyFill="1" applyBorder="1" applyAlignment="1">
      <alignment horizontal="center" vertical="center"/>
    </xf>
    <xf numFmtId="0" fontId="25" fillId="2" borderId="1" xfId="0" applyFont="1" applyFill="1" applyBorder="1" applyAlignment="1">
      <alignment horizontal="center" vertical="center" wrapText="1"/>
    </xf>
    <xf numFmtId="175" fontId="0" fillId="2" borderId="1" xfId="0" applyNumberFormat="1" applyFill="1" applyBorder="1" applyAlignment="1">
      <alignment horizontal="center" vertical="center"/>
    </xf>
    <xf numFmtId="15" fontId="0" fillId="2" borderId="1" xfId="0" applyNumberFormat="1" applyFill="1" applyBorder="1" applyAlignment="1">
      <alignment horizontal="center" vertical="center" wrapText="1"/>
    </xf>
    <xf numFmtId="174" fontId="0" fillId="2" borderId="1" xfId="5" applyNumberFormat="1" applyFont="1" applyFill="1" applyBorder="1" applyAlignment="1">
      <alignment horizontal="center" vertical="center" wrapText="1"/>
    </xf>
    <xf numFmtId="14" fontId="0" fillId="2" borderId="1" xfId="0" applyNumberFormat="1" applyFill="1" applyBorder="1" applyAlignment="1">
      <alignment horizontal="center" vertical="center"/>
    </xf>
    <xf numFmtId="0" fontId="2" fillId="2" borderId="1" xfId="0" applyFont="1" applyFill="1" applyBorder="1" applyAlignment="1">
      <alignment horizontal="justify" vertical="center" wrapText="1"/>
    </xf>
    <xf numFmtId="0" fontId="24" fillId="2" borderId="1" xfId="0" applyFont="1" applyFill="1" applyBorder="1" applyAlignment="1">
      <alignment horizontal="center" vertical="center" wrapText="1"/>
    </xf>
    <xf numFmtId="174" fontId="1" fillId="2" borderId="1" xfId="5" applyNumberFormat="1" applyFill="1" applyBorder="1" applyAlignment="1">
      <alignment vertical="center"/>
    </xf>
    <xf numFmtId="0" fontId="2" fillId="2" borderId="1" xfId="0" applyFont="1" applyFill="1" applyBorder="1" applyAlignment="1">
      <alignment horizontal="center" vertical="center" wrapText="1"/>
    </xf>
    <xf numFmtId="174" fontId="1" fillId="2" borderId="1" xfId="5" applyNumberFormat="1" applyFill="1" applyBorder="1" applyAlignment="1">
      <alignment horizontal="center" vertical="center"/>
    </xf>
    <xf numFmtId="14" fontId="0" fillId="2" borderId="1" xfId="0" applyNumberFormat="1" applyFill="1" applyBorder="1" applyAlignment="1">
      <alignment vertical="center"/>
    </xf>
    <xf numFmtId="16" fontId="0" fillId="2" borderId="1" xfId="0" applyNumberFormat="1" applyFill="1" applyBorder="1" applyAlignment="1">
      <alignment horizontal="center" vertical="center"/>
    </xf>
    <xf numFmtId="0" fontId="2" fillId="2" borderId="0" xfId="0" applyFont="1" applyFill="1" applyBorder="1" applyAlignment="1">
      <alignment horizontal="center" vertical="center" wrapText="1"/>
    </xf>
    <xf numFmtId="0" fontId="2" fillId="2" borderId="0" xfId="0" applyFont="1" applyFill="1" applyBorder="1" applyAlignment="1">
      <alignment horizontal="left" vertical="center" wrapText="1"/>
    </xf>
    <xf numFmtId="164" fontId="1" fillId="2" borderId="1" xfId="5" applyNumberFormat="1" applyFill="1" applyBorder="1" applyAlignment="1">
      <alignment horizontal="right" vertical="center"/>
    </xf>
    <xf numFmtId="164" fontId="1" fillId="2" borderId="1" xfId="5" applyNumberFormat="1" applyFont="1" applyFill="1" applyBorder="1" applyAlignment="1" applyProtection="1">
      <alignment horizontal="right" vertical="center"/>
    </xf>
    <xf numFmtId="164" fontId="1" fillId="2" borderId="1" xfId="5" applyNumberFormat="1" applyFont="1" applyFill="1" applyBorder="1" applyAlignment="1">
      <alignment horizontal="right" vertical="center"/>
    </xf>
    <xf numFmtId="0" fontId="2" fillId="2" borderId="0" xfId="0" applyFont="1" applyFill="1" applyAlignment="1">
      <alignment horizontal="center" vertical="center"/>
    </xf>
    <xf numFmtId="0" fontId="0" fillId="2" borderId="1" xfId="0" applyFill="1" applyBorder="1" applyAlignment="1">
      <alignment horizontal="center" vertical="top" wrapText="1"/>
    </xf>
    <xf numFmtId="164" fontId="0" fillId="2" borderId="1" xfId="5" applyNumberFormat="1" applyFont="1" applyFill="1" applyBorder="1" applyAlignment="1" applyProtection="1">
      <alignment horizontal="right" vertical="center" wrapText="1"/>
      <protection locked="0"/>
    </xf>
    <xf numFmtId="164" fontId="0" fillId="2" borderId="1" xfId="5" applyNumberFormat="1" applyFont="1" applyFill="1" applyBorder="1" applyAlignment="1">
      <alignment horizontal="right" vertical="center"/>
    </xf>
    <xf numFmtId="0" fontId="0"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8" xfId="0" applyFont="1" applyFill="1" applyBorder="1" applyAlignment="1">
      <alignment horizontal="left" vertical="center" wrapText="1"/>
    </xf>
    <xf numFmtId="1" fontId="0" fillId="7" borderId="1" xfId="0" applyNumberFormat="1" applyFont="1" applyFill="1" applyBorder="1" applyAlignment="1">
      <alignment horizontal="center" vertical="center"/>
    </xf>
    <xf numFmtId="49" fontId="0" fillId="16" borderId="1" xfId="0" applyNumberFormat="1" applyFont="1" applyFill="1" applyBorder="1" applyAlignment="1">
      <alignment horizontal="center" vertical="center"/>
    </xf>
    <xf numFmtId="0" fontId="0" fillId="16" borderId="1" xfId="0" applyFont="1" applyFill="1" applyBorder="1" applyAlignment="1" applyProtection="1">
      <alignment horizontal="center" vertical="center" wrapText="1"/>
      <protection locked="0"/>
    </xf>
    <xf numFmtId="172" fontId="0" fillId="7" borderId="1" xfId="0" applyNumberFormat="1" applyFont="1" applyFill="1" applyBorder="1" applyAlignment="1">
      <alignment horizontal="center" vertical="center"/>
    </xf>
    <xf numFmtId="1" fontId="0" fillId="7" borderId="1" xfId="0" applyNumberFormat="1" applyFont="1" applyFill="1" applyBorder="1" applyAlignment="1">
      <alignment horizontal="center" vertical="center" wrapText="1"/>
    </xf>
    <xf numFmtId="173" fontId="0" fillId="16" borderId="1" xfId="0" applyNumberFormat="1" applyFill="1" applyBorder="1" applyAlignment="1">
      <alignment horizontal="center" vertical="center" wrapText="1"/>
    </xf>
    <xf numFmtId="0" fontId="0" fillId="16" borderId="1" xfId="0" applyFont="1" applyFill="1" applyBorder="1" applyAlignment="1" applyProtection="1">
      <alignment horizontal="center" vertical="center"/>
      <protection locked="0"/>
    </xf>
    <xf numFmtId="1" fontId="0" fillId="16" borderId="1" xfId="0" applyNumberFormat="1" applyFont="1" applyFill="1" applyBorder="1" applyAlignment="1" applyProtection="1">
      <alignment horizontal="center" vertical="center" wrapText="1"/>
      <protection locked="0"/>
    </xf>
    <xf numFmtId="164" fontId="0" fillId="16" borderId="1" xfId="5" applyNumberFormat="1" applyFont="1" applyFill="1" applyBorder="1" applyAlignment="1" applyProtection="1">
      <alignment horizontal="right" vertical="center"/>
    </xf>
    <xf numFmtId="0" fontId="0" fillId="16" borderId="1" xfId="0" applyFont="1" applyFill="1" applyBorder="1" applyAlignment="1">
      <alignment horizontal="center" vertical="center" wrapText="1"/>
    </xf>
    <xf numFmtId="174" fontId="0" fillId="16" borderId="1" xfId="5" applyNumberFormat="1" applyFont="1" applyFill="1" applyBorder="1" applyAlignment="1" applyProtection="1">
      <alignment horizontal="center" vertical="center" wrapText="1"/>
      <protection locked="0"/>
    </xf>
    <xf numFmtId="0" fontId="0" fillId="7" borderId="1" xfId="0" applyFont="1" applyFill="1" applyBorder="1" applyAlignment="1" applyProtection="1">
      <alignment horizontal="center" vertical="center" wrapText="1"/>
      <protection locked="0"/>
    </xf>
    <xf numFmtId="173" fontId="0" fillId="16" borderId="1" xfId="0" applyNumberFormat="1" applyFill="1" applyBorder="1" applyAlignment="1" applyProtection="1">
      <alignment horizontal="center" vertical="center" wrapText="1"/>
      <protection locked="0"/>
    </xf>
    <xf numFmtId="1" fontId="0" fillId="16" borderId="1" xfId="3" applyNumberFormat="1" applyFont="1" applyFill="1" applyBorder="1" applyAlignment="1" applyProtection="1">
      <alignment horizontal="center" vertical="center" wrapText="1"/>
    </xf>
    <xf numFmtId="173" fontId="0" fillId="16" borderId="1" xfId="3" applyNumberFormat="1" applyFont="1" applyFill="1" applyBorder="1" applyAlignment="1" applyProtection="1">
      <alignment horizontal="center" vertical="center" wrapText="1"/>
    </xf>
    <xf numFmtId="1" fontId="25" fillId="16" borderId="1" xfId="3" applyNumberFormat="1" applyFont="1" applyFill="1" applyBorder="1" applyAlignment="1" applyProtection="1">
      <alignment horizontal="center" vertical="center" wrapText="1"/>
    </xf>
    <xf numFmtId="177" fontId="0" fillId="16" borderId="1" xfId="0" applyNumberFormat="1" applyFill="1" applyBorder="1" applyAlignment="1" applyProtection="1">
      <alignment horizontal="center" vertical="center" wrapText="1"/>
      <protection locked="0"/>
    </xf>
    <xf numFmtId="49" fontId="0" fillId="16" borderId="1" xfId="0" applyNumberFormat="1" applyFill="1" applyBorder="1" applyAlignment="1" applyProtection="1">
      <alignment horizontal="justify" vertical="center" wrapText="1"/>
      <protection locked="0"/>
    </xf>
    <xf numFmtId="0" fontId="0" fillId="16" borderId="1" xfId="0" applyFont="1" applyFill="1" applyBorder="1" applyAlignment="1">
      <alignment horizontal="center" vertical="center"/>
    </xf>
    <xf numFmtId="0" fontId="0" fillId="7" borderId="1" xfId="0" applyFill="1" applyBorder="1" applyAlignment="1">
      <alignment vertical="center"/>
    </xf>
    <xf numFmtId="0" fontId="0" fillId="7" borderId="1" xfId="0" applyNumberFormat="1" applyFont="1" applyFill="1" applyBorder="1" applyAlignment="1" applyProtection="1">
      <alignment horizontal="center" vertical="center" wrapText="1"/>
      <protection locked="0"/>
    </xf>
    <xf numFmtId="49" fontId="0" fillId="7" borderId="1" xfId="0" applyNumberFormat="1" applyFont="1" applyFill="1" applyBorder="1" applyAlignment="1">
      <alignment horizontal="center" vertical="center"/>
    </xf>
    <xf numFmtId="0" fontId="0" fillId="7" borderId="1" xfId="0" applyFont="1" applyFill="1" applyBorder="1" applyAlignment="1">
      <alignment horizontal="center" vertical="center"/>
    </xf>
    <xf numFmtId="1" fontId="0" fillId="7" borderId="1" xfId="0" applyNumberFormat="1" applyFont="1" applyFill="1" applyBorder="1" applyAlignment="1" applyProtection="1">
      <alignment horizontal="center" vertical="center" wrapText="1"/>
      <protection locked="0"/>
    </xf>
    <xf numFmtId="0" fontId="0" fillId="7" borderId="1" xfId="0" applyFont="1" applyFill="1" applyBorder="1" applyAlignment="1">
      <alignment horizontal="center" vertical="center" wrapText="1"/>
    </xf>
    <xf numFmtId="165" fontId="1" fillId="7" borderId="1" xfId="2" applyNumberFormat="1" applyFont="1" applyFill="1" applyBorder="1" applyAlignment="1">
      <alignment horizontal="center" vertical="center" wrapText="1"/>
    </xf>
    <xf numFmtId="173" fontId="0" fillId="7" borderId="1" xfId="0" applyNumberFormat="1" applyFill="1" applyBorder="1" applyAlignment="1" applyProtection="1">
      <alignment horizontal="center" vertical="center" wrapText="1"/>
      <protection locked="0"/>
    </xf>
    <xf numFmtId="1" fontId="0" fillId="7" borderId="1" xfId="3" applyNumberFormat="1" applyFont="1" applyFill="1" applyBorder="1" applyAlignment="1" applyProtection="1">
      <alignment horizontal="center" vertical="center" wrapText="1"/>
    </xf>
    <xf numFmtId="173" fontId="0" fillId="7" borderId="1" xfId="3" applyNumberFormat="1" applyFont="1" applyFill="1" applyBorder="1" applyAlignment="1" applyProtection="1">
      <alignment horizontal="center" vertical="center" wrapText="1"/>
    </xf>
    <xf numFmtId="1" fontId="25" fillId="7" borderId="1" xfId="3" applyNumberFormat="1" applyFont="1" applyFill="1" applyBorder="1" applyAlignment="1" applyProtection="1">
      <alignment horizontal="center" vertical="center" wrapText="1"/>
    </xf>
    <xf numFmtId="177" fontId="0" fillId="7" borderId="1" xfId="0" applyNumberFormat="1" applyFill="1" applyBorder="1" applyAlignment="1" applyProtection="1">
      <alignment horizontal="center" vertical="center" wrapText="1"/>
      <protection locked="0"/>
    </xf>
    <xf numFmtId="49" fontId="0" fillId="7" borderId="1" xfId="0" applyNumberFormat="1" applyFill="1" applyBorder="1" applyAlignment="1" applyProtection="1">
      <alignment horizontal="justify" vertical="center" wrapText="1"/>
      <protection locked="0"/>
    </xf>
    <xf numFmtId="0" fontId="0" fillId="7" borderId="1" xfId="0" applyFill="1" applyBorder="1" applyAlignment="1">
      <alignment horizontal="center" vertical="center" wrapText="1"/>
    </xf>
    <xf numFmtId="174" fontId="0" fillId="7" borderId="1" xfId="5" applyNumberFormat="1" applyFont="1" applyFill="1" applyBorder="1" applyAlignment="1" applyProtection="1">
      <alignment horizontal="center" vertical="center"/>
    </xf>
    <xf numFmtId="177" fontId="27" fillId="7" borderId="1" xfId="3" applyNumberFormat="1" applyFont="1" applyFill="1" applyBorder="1" applyAlignment="1" applyProtection="1">
      <alignment horizontal="center" vertical="center" wrapText="1"/>
      <protection locked="0"/>
    </xf>
    <xf numFmtId="174" fontId="0" fillId="7" borderId="1" xfId="5" applyNumberFormat="1" applyFont="1" applyFill="1" applyBorder="1" applyAlignment="1" applyProtection="1">
      <alignment horizontal="center" vertical="center" wrapText="1"/>
    </xf>
    <xf numFmtId="42" fontId="0" fillId="7" borderId="1" xfId="3" applyFont="1" applyFill="1" applyBorder="1" applyAlignment="1" applyProtection="1">
      <alignment horizontal="center" vertical="center" wrapText="1"/>
    </xf>
    <xf numFmtId="174" fontId="27" fillId="7" borderId="1" xfId="5" applyNumberFormat="1" applyFont="1" applyFill="1" applyBorder="1" applyAlignment="1" applyProtection="1">
      <alignment horizontal="center" vertical="center" wrapText="1"/>
      <protection locked="0"/>
    </xf>
    <xf numFmtId="0" fontId="28" fillId="7" borderId="1" xfId="0" applyFont="1" applyFill="1" applyBorder="1" applyAlignment="1">
      <alignment horizontal="center" vertical="center" wrapText="1"/>
    </xf>
    <xf numFmtId="172" fontId="0" fillId="0" borderId="1" xfId="0" applyNumberFormat="1" applyFill="1" applyBorder="1" applyAlignment="1">
      <alignment horizontal="center" vertical="center" wrapText="1"/>
    </xf>
    <xf numFmtId="0" fontId="0" fillId="2" borderId="0" xfId="0" applyNumberFormat="1" applyFont="1" applyFill="1" applyBorder="1" applyAlignment="1" applyProtection="1">
      <alignment horizontal="center" vertical="center" wrapText="1"/>
      <protection locked="0"/>
    </xf>
    <xf numFmtId="0" fontId="2" fillId="2" borderId="1" xfId="0" applyFont="1" applyFill="1" applyBorder="1" applyAlignment="1">
      <alignment horizontal="justify" vertical="center"/>
    </xf>
    <xf numFmtId="0" fontId="0" fillId="2" borderId="13" xfId="0" applyFont="1" applyFill="1" applyBorder="1" applyAlignment="1">
      <alignment horizontal="justify" vertical="center" wrapText="1"/>
    </xf>
    <xf numFmtId="165" fontId="0" fillId="0" borderId="0" xfId="2" applyNumberFormat="1" applyFont="1" applyAlignment="1">
      <alignment horizontal="center" vertical="center"/>
    </xf>
    <xf numFmtId="0" fontId="31"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23" fillId="2" borderId="1" xfId="0" applyFont="1" applyFill="1" applyBorder="1" applyAlignment="1">
      <alignment horizontal="center" vertical="center"/>
    </xf>
    <xf numFmtId="1" fontId="23" fillId="19" borderId="1" xfId="3" applyNumberFormat="1" applyFont="1" applyFill="1" applyBorder="1" applyAlignment="1" applyProtection="1">
      <alignment horizontal="center" vertical="center" wrapText="1"/>
    </xf>
    <xf numFmtId="49" fontId="23" fillId="2" borderId="1" xfId="0" applyNumberFormat="1" applyFont="1" applyFill="1" applyBorder="1" applyAlignment="1">
      <alignment horizontal="center" vertical="center" wrapText="1"/>
    </xf>
    <xf numFmtId="173" fontId="23" fillId="2" borderId="1" xfId="0"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174" fontId="23" fillId="2" borderId="1" xfId="5" applyNumberFormat="1" applyFont="1" applyFill="1" applyBorder="1" applyAlignment="1">
      <alignment horizontal="center" vertical="center" wrapText="1"/>
    </xf>
    <xf numFmtId="174" fontId="23" fillId="2" borderId="1" xfId="5" applyNumberFormat="1" applyFont="1" applyFill="1" applyBorder="1" applyAlignment="1" applyProtection="1">
      <alignment horizontal="center" vertical="center"/>
    </xf>
    <xf numFmtId="14" fontId="23" fillId="2" borderId="1" xfId="0" applyNumberFormat="1" applyFont="1" applyFill="1" applyBorder="1" applyAlignment="1">
      <alignment horizontal="center" vertical="center"/>
    </xf>
    <xf numFmtId="173" fontId="23" fillId="2" borderId="1" xfId="3" applyNumberFormat="1" applyFont="1" applyFill="1" applyBorder="1" applyAlignment="1" applyProtection="1">
      <alignment horizontal="center" vertical="center" wrapText="1"/>
    </xf>
    <xf numFmtId="1" fontId="23" fillId="2" borderId="1" xfId="3" applyNumberFormat="1" applyFont="1" applyFill="1" applyBorder="1" applyAlignment="1" applyProtection="1">
      <alignment horizontal="center" vertical="center" wrapText="1"/>
    </xf>
    <xf numFmtId="1" fontId="32" fillId="2" borderId="1" xfId="3" applyNumberFormat="1" applyFont="1" applyFill="1" applyBorder="1" applyAlignment="1" applyProtection="1">
      <alignment horizontal="center" vertical="center" wrapText="1"/>
    </xf>
    <xf numFmtId="42" fontId="23" fillId="2" borderId="1" xfId="1" applyFont="1" applyFill="1" applyBorder="1" applyAlignment="1">
      <alignment horizontal="center" vertical="center"/>
    </xf>
    <xf numFmtId="0" fontId="23" fillId="2" borderId="1" xfId="0" applyFont="1" applyFill="1" applyBorder="1" applyAlignment="1">
      <alignment vertical="center"/>
    </xf>
    <xf numFmtId="14" fontId="23" fillId="2" borderId="1" xfId="0" applyNumberFormat="1" applyFont="1" applyFill="1" applyBorder="1" applyAlignment="1">
      <alignment horizontal="center" vertical="center" wrapText="1"/>
    </xf>
    <xf numFmtId="0" fontId="23" fillId="19" borderId="1" xfId="0" applyFont="1" applyFill="1" applyBorder="1" applyAlignment="1">
      <alignment horizontal="center" vertical="center" wrapText="1"/>
    </xf>
    <xf numFmtId="0" fontId="23" fillId="19" borderId="1" xfId="0" applyFont="1" applyFill="1" applyBorder="1" applyAlignment="1" applyProtection="1">
      <alignment horizontal="center" vertical="center" wrapText="1"/>
      <protection locked="0"/>
    </xf>
    <xf numFmtId="172" fontId="23" fillId="2" borderId="1" xfId="0" applyNumberFormat="1" applyFont="1" applyFill="1" applyBorder="1" applyAlignment="1">
      <alignment horizontal="center" vertical="center" wrapText="1"/>
    </xf>
    <xf numFmtId="174" fontId="23" fillId="2" borderId="1" xfId="5" applyNumberFormat="1"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protection locked="0"/>
    </xf>
    <xf numFmtId="172" fontId="23" fillId="2" borderId="1" xfId="0" applyNumberFormat="1" applyFont="1" applyFill="1" applyBorder="1" applyAlignment="1">
      <alignment horizontal="center" vertical="center"/>
    </xf>
    <xf numFmtId="173" fontId="23" fillId="2" borderId="1" xfId="0" applyNumberFormat="1" applyFont="1" applyFill="1" applyBorder="1" applyAlignment="1">
      <alignment horizontal="center" vertical="center"/>
    </xf>
    <xf numFmtId="175" fontId="23" fillId="2" borderId="1" xfId="0" applyNumberFormat="1" applyFont="1" applyFill="1" applyBorder="1" applyAlignment="1">
      <alignment horizontal="center" vertical="center"/>
    </xf>
    <xf numFmtId="0" fontId="32" fillId="2" borderId="1" xfId="0" applyFont="1" applyFill="1" applyBorder="1" applyAlignment="1">
      <alignment horizontal="center" vertical="center" wrapText="1"/>
    </xf>
    <xf numFmtId="44" fontId="23" fillId="2" borderId="1" xfId="5" applyFont="1" applyFill="1" applyBorder="1" applyAlignment="1">
      <alignment horizontal="center" vertical="center" wrapText="1"/>
    </xf>
    <xf numFmtId="0" fontId="23" fillId="2" borderId="1" xfId="0" applyFont="1" applyFill="1" applyBorder="1" applyAlignment="1">
      <alignment vertical="center" wrapText="1"/>
    </xf>
    <xf numFmtId="14" fontId="23" fillId="2" borderId="1" xfId="0" applyNumberFormat="1" applyFont="1" applyFill="1" applyBorder="1" applyAlignment="1">
      <alignment vertical="center"/>
    </xf>
    <xf numFmtId="14" fontId="23" fillId="2" borderId="1" xfId="0" applyNumberFormat="1" applyFont="1" applyFill="1" applyBorder="1" applyAlignment="1">
      <alignment horizontal="right" vertical="center"/>
    </xf>
    <xf numFmtId="42" fontId="23" fillId="2" borderId="1" xfId="1" applyFont="1" applyFill="1" applyBorder="1" applyAlignment="1">
      <alignment vertical="center" wrapText="1"/>
    </xf>
    <xf numFmtId="49" fontId="23" fillId="2" borderId="1" xfId="0" applyNumberFormat="1" applyFont="1" applyFill="1" applyBorder="1" applyAlignment="1">
      <alignment horizontal="center" vertical="center"/>
    </xf>
    <xf numFmtId="0" fontId="23" fillId="2" borderId="1" xfId="0" applyFont="1" applyFill="1" applyBorder="1" applyAlignment="1">
      <alignment horizontal="left" vertical="center"/>
    </xf>
    <xf numFmtId="0" fontId="34" fillId="2" borderId="1" xfId="0" applyFont="1" applyFill="1" applyBorder="1" applyAlignment="1">
      <alignment horizontal="center" vertical="center"/>
    </xf>
    <xf numFmtId="44" fontId="23" fillId="2" borderId="1" xfId="5" applyFont="1" applyFill="1" applyBorder="1" applyAlignment="1" applyProtection="1">
      <alignment horizontal="center" vertical="center" wrapText="1"/>
    </xf>
    <xf numFmtId="0" fontId="34" fillId="2" borderId="1" xfId="0" applyFont="1" applyFill="1" applyBorder="1" applyAlignment="1">
      <alignment vertical="center" wrapText="1"/>
    </xf>
    <xf numFmtId="42" fontId="23" fillId="2" borderId="1" xfId="1" applyFont="1" applyFill="1" applyBorder="1" applyAlignment="1">
      <alignment horizontal="center" vertical="center" wrapText="1"/>
    </xf>
    <xf numFmtId="3" fontId="4" fillId="3" borderId="0" xfId="5" applyNumberFormat="1" applyFont="1" applyFill="1" applyAlignment="1">
      <alignment horizontal="right" vertical="center" wrapText="1"/>
    </xf>
    <xf numFmtId="3" fontId="4" fillId="10" borderId="18" xfId="5" applyNumberFormat="1" applyFont="1" applyFill="1" applyBorder="1" applyAlignment="1">
      <alignment horizontal="center" vertical="center" wrapText="1"/>
    </xf>
    <xf numFmtId="3" fontId="2" fillId="2" borderId="0" xfId="5" applyNumberFormat="1" applyFont="1" applyFill="1" applyAlignment="1">
      <alignment horizontal="right" vertical="center" wrapText="1"/>
    </xf>
    <xf numFmtId="0" fontId="23" fillId="19" borderId="1" xfId="0" applyFont="1" applyFill="1" applyBorder="1" applyAlignment="1">
      <alignment horizontal="center" vertical="center"/>
    </xf>
    <xf numFmtId="1" fontId="23" fillId="19" borderId="1" xfId="3" applyNumberFormat="1" applyFont="1" applyFill="1" applyBorder="1" applyAlignment="1" applyProtection="1">
      <alignment horizontal="center" vertical="center"/>
    </xf>
    <xf numFmtId="0" fontId="23" fillId="2" borderId="1" xfId="0" applyFont="1" applyFill="1" applyBorder="1" applyAlignment="1">
      <alignment horizontal="left" vertical="center" wrapText="1"/>
    </xf>
    <xf numFmtId="173" fontId="23" fillId="2" borderId="1" xfId="3" applyNumberFormat="1" applyFont="1" applyFill="1" applyBorder="1" applyAlignment="1" applyProtection="1">
      <alignment horizontal="center" vertical="center"/>
    </xf>
    <xf numFmtId="1" fontId="23" fillId="2" borderId="1" xfId="3" applyNumberFormat="1" applyFont="1" applyFill="1" applyBorder="1" applyAlignment="1" applyProtection="1">
      <alignment horizontal="center" vertical="center"/>
    </xf>
    <xf numFmtId="1" fontId="32" fillId="2" borderId="1" xfId="3" applyNumberFormat="1" applyFont="1" applyFill="1" applyBorder="1" applyAlignment="1" applyProtection="1">
      <alignment horizontal="center" vertical="center"/>
    </xf>
    <xf numFmtId="1" fontId="23" fillId="2" borderId="1" xfId="0" applyNumberFormat="1" applyFont="1" applyFill="1" applyBorder="1" applyAlignment="1">
      <alignment horizontal="center" vertical="center"/>
    </xf>
    <xf numFmtId="42" fontId="23" fillId="2" borderId="1" xfId="1" applyFont="1" applyFill="1" applyBorder="1" applyAlignment="1" applyProtection="1">
      <alignment horizontal="center" vertical="center"/>
      <protection locked="0"/>
    </xf>
    <xf numFmtId="42" fontId="23" fillId="2" borderId="1" xfId="0" applyNumberFormat="1" applyFont="1" applyFill="1" applyBorder="1" applyAlignment="1">
      <alignment horizontal="center" vertical="center" wrapText="1"/>
    </xf>
    <xf numFmtId="0" fontId="23" fillId="2" borderId="0" xfId="0" applyFont="1" applyFill="1" applyAlignment="1">
      <alignment vertical="center"/>
    </xf>
    <xf numFmtId="0" fontId="23" fillId="2" borderId="1" xfId="0" applyFont="1" applyFill="1" applyBorder="1" applyAlignment="1" applyProtection="1">
      <alignment horizontal="center" vertical="center"/>
      <protection locked="0"/>
    </xf>
    <xf numFmtId="15" fontId="23" fillId="2" borderId="1" xfId="0" applyNumberFormat="1" applyFont="1" applyFill="1" applyBorder="1" applyAlignment="1">
      <alignment horizontal="center" vertical="center"/>
    </xf>
    <xf numFmtId="15" fontId="32" fillId="2" borderId="1" xfId="0" applyNumberFormat="1" applyFont="1" applyFill="1" applyBorder="1" applyAlignment="1">
      <alignment horizontal="center" vertical="center"/>
    </xf>
    <xf numFmtId="0" fontId="4" fillId="9" borderId="18" xfId="0" applyFont="1" applyFill="1" applyBorder="1" applyAlignment="1">
      <alignment horizontal="center" vertical="center"/>
    </xf>
    <xf numFmtId="8" fontId="23" fillId="2" borderId="1" xfId="0" applyNumberFormat="1" applyFont="1" applyFill="1" applyBorder="1" applyAlignment="1">
      <alignment vertical="center" wrapText="1"/>
    </xf>
    <xf numFmtId="164" fontId="2" fillId="2" borderId="1" xfId="1" applyNumberFormat="1" applyFont="1" applyFill="1" applyBorder="1" applyAlignment="1">
      <alignment horizontal="right" vertical="center" wrapText="1"/>
    </xf>
    <xf numFmtId="0" fontId="34" fillId="2" borderId="1" xfId="0" applyFont="1" applyFill="1" applyBorder="1" applyAlignment="1">
      <alignment horizontal="left" vertical="center" wrapText="1"/>
    </xf>
    <xf numFmtId="42" fontId="23" fillId="2" borderId="1" xfId="3" applyFont="1" applyFill="1" applyBorder="1" applyAlignment="1" applyProtection="1">
      <alignment horizontal="center" vertical="center"/>
    </xf>
    <xf numFmtId="0" fontId="33" fillId="2" borderId="1" xfId="0" applyFont="1" applyFill="1" applyBorder="1" applyAlignment="1">
      <alignment horizontal="center" vertical="center"/>
    </xf>
    <xf numFmtId="0" fontId="23" fillId="2" borderId="1" xfId="3" applyNumberFormat="1" applyFont="1" applyFill="1" applyBorder="1" applyAlignment="1" applyProtection="1">
      <alignment horizontal="center" vertical="center"/>
    </xf>
    <xf numFmtId="178" fontId="23" fillId="2" borderId="1" xfId="0" applyNumberFormat="1" applyFont="1" applyFill="1" applyBorder="1" applyAlignment="1">
      <alignment horizontal="center" vertical="center" wrapText="1"/>
    </xf>
    <xf numFmtId="174" fontId="23" fillId="2" borderId="1" xfId="5" applyNumberFormat="1" applyFont="1" applyFill="1" applyBorder="1" applyAlignment="1">
      <alignment horizontal="center" vertical="center"/>
    </xf>
    <xf numFmtId="1" fontId="23" fillId="19" borderId="1" xfId="3" applyNumberFormat="1" applyFont="1" applyFill="1" applyBorder="1" applyAlignment="1" applyProtection="1">
      <alignment vertical="center"/>
    </xf>
    <xf numFmtId="0" fontId="34" fillId="2" borderId="1" xfId="0" applyFont="1" applyFill="1" applyBorder="1" applyAlignment="1">
      <alignment vertical="center"/>
    </xf>
    <xf numFmtId="8" fontId="23" fillId="2" borderId="1" xfId="1" applyNumberFormat="1" applyFont="1" applyFill="1" applyBorder="1" applyAlignment="1">
      <alignment vertical="center" wrapText="1"/>
    </xf>
    <xf numFmtId="6" fontId="23" fillId="2" borderId="1" xfId="1" applyNumberFormat="1" applyFont="1" applyFill="1" applyBorder="1" applyAlignment="1">
      <alignment vertical="center" wrapText="1"/>
    </xf>
    <xf numFmtId="0" fontId="32" fillId="2" borderId="1" xfId="0" applyFont="1" applyFill="1" applyBorder="1" applyAlignment="1">
      <alignment horizontal="center" vertical="center"/>
    </xf>
    <xf numFmtId="0" fontId="37" fillId="19" borderId="1" xfId="0" applyFont="1" applyFill="1" applyBorder="1" applyAlignment="1">
      <alignment horizontal="center" vertical="center" wrapText="1"/>
    </xf>
    <xf numFmtId="1" fontId="23" fillId="19" borderId="1" xfId="0" applyNumberFormat="1" applyFont="1" applyFill="1" applyBorder="1" applyAlignment="1">
      <alignment horizontal="center" vertical="center"/>
    </xf>
    <xf numFmtId="42" fontId="23" fillId="2" borderId="1" xfId="1" applyFont="1" applyFill="1" applyBorder="1" applyAlignment="1" applyProtection="1">
      <alignment horizontal="center" vertical="center" wrapText="1"/>
    </xf>
    <xf numFmtId="174" fontId="23" fillId="2" borderId="1" xfId="0" applyNumberFormat="1" applyFont="1" applyFill="1" applyBorder="1" applyAlignment="1">
      <alignment vertical="center" wrapText="1"/>
    </xf>
    <xf numFmtId="14" fontId="23" fillId="2" borderId="1" xfId="0" applyNumberFormat="1" applyFont="1" applyFill="1" applyBorder="1" applyAlignment="1">
      <alignment vertical="center" wrapText="1"/>
    </xf>
    <xf numFmtId="42" fontId="23" fillId="2" borderId="1" xfId="0" applyNumberFormat="1" applyFont="1" applyFill="1" applyBorder="1" applyAlignment="1">
      <alignment vertical="center" wrapText="1"/>
    </xf>
    <xf numFmtId="0" fontId="0" fillId="2" borderId="6" xfId="0" applyFont="1" applyFill="1" applyBorder="1" applyAlignment="1">
      <alignment horizontal="center" vertical="center" wrapText="1"/>
    </xf>
    <xf numFmtId="0" fontId="23" fillId="2" borderId="0" xfId="0" applyFont="1" applyFill="1" applyBorder="1" applyAlignment="1">
      <alignment vertical="center"/>
    </xf>
    <xf numFmtId="0" fontId="2" fillId="2" borderId="8" xfId="0" applyFont="1" applyFill="1" applyBorder="1" applyAlignment="1">
      <alignment horizontal="justify" vertical="center" wrapText="1"/>
    </xf>
    <xf numFmtId="0" fontId="2" fillId="2" borderId="18" xfId="0" applyFont="1" applyFill="1" applyBorder="1" applyAlignment="1">
      <alignment horizontal="justify" vertical="center" wrapText="1"/>
    </xf>
    <xf numFmtId="179" fontId="0" fillId="7" borderId="1" xfId="5" applyNumberFormat="1" applyFont="1" applyFill="1" applyBorder="1" applyAlignment="1" applyProtection="1">
      <alignment vertical="center"/>
    </xf>
    <xf numFmtId="179" fontId="1" fillId="2" borderId="1" xfId="5" applyNumberFormat="1" applyFont="1" applyFill="1" applyBorder="1" applyAlignment="1" applyProtection="1">
      <alignment vertical="center"/>
    </xf>
    <xf numFmtId="179" fontId="1" fillId="2" borderId="1" xfId="5" applyNumberFormat="1" applyFont="1" applyFill="1" applyBorder="1" applyAlignment="1">
      <alignment vertical="center" wrapText="1"/>
    </xf>
    <xf numFmtId="179" fontId="23" fillId="2" borderId="1" xfId="5" applyNumberFormat="1" applyFont="1" applyFill="1" applyBorder="1" applyAlignment="1" applyProtection="1">
      <alignment vertical="center"/>
    </xf>
    <xf numFmtId="179" fontId="1" fillId="2" borderId="1" xfId="5" applyNumberFormat="1" applyFont="1" applyFill="1" applyBorder="1" applyAlignment="1" applyProtection="1">
      <alignment vertical="center" wrapText="1"/>
    </xf>
    <xf numFmtId="179" fontId="0" fillId="2" borderId="1" xfId="5" applyNumberFormat="1" applyFont="1" applyFill="1" applyBorder="1" applyAlignment="1" applyProtection="1">
      <alignment vertical="center" wrapText="1"/>
    </xf>
    <xf numFmtId="179" fontId="1" fillId="14" borderId="1" xfId="5" applyNumberFormat="1" applyFont="1" applyFill="1" applyBorder="1" applyAlignment="1" applyProtection="1">
      <alignment vertical="center" wrapText="1"/>
    </xf>
    <xf numFmtId="179" fontId="1" fillId="13" borderId="1" xfId="5" applyNumberFormat="1" applyFont="1" applyFill="1" applyBorder="1" applyAlignment="1" applyProtection="1">
      <alignment vertical="center" wrapText="1"/>
    </xf>
    <xf numFmtId="179" fontId="1" fillId="2" borderId="1" xfId="5" applyNumberFormat="1" applyFill="1" applyBorder="1" applyAlignment="1">
      <alignment vertical="center"/>
    </xf>
    <xf numFmtId="179" fontId="1" fillId="2" borderId="1" xfId="5" applyNumberFormat="1" applyFont="1" applyFill="1" applyBorder="1" applyAlignment="1">
      <alignment vertical="center"/>
    </xf>
    <xf numFmtId="179" fontId="23" fillId="2" borderId="1" xfId="5" applyNumberFormat="1" applyFont="1" applyFill="1" applyBorder="1" applyAlignment="1" applyProtection="1">
      <alignment vertical="center" wrapText="1"/>
    </xf>
    <xf numFmtId="179" fontId="23" fillId="2" borderId="1" xfId="1" applyNumberFormat="1" applyFont="1" applyFill="1" applyBorder="1" applyAlignment="1">
      <alignment vertical="center"/>
    </xf>
    <xf numFmtId="179" fontId="0" fillId="2" borderId="1" xfId="5" applyNumberFormat="1" applyFont="1" applyFill="1" applyBorder="1" applyAlignment="1">
      <alignment vertical="center" wrapText="1"/>
    </xf>
    <xf numFmtId="179" fontId="23" fillId="2" borderId="1" xfId="5" applyNumberFormat="1" applyFont="1" applyFill="1" applyBorder="1" applyAlignment="1">
      <alignment vertical="center" wrapText="1"/>
    </xf>
    <xf numFmtId="179" fontId="2" fillId="2" borderId="0" xfId="5" applyNumberFormat="1" applyFont="1" applyFill="1" applyAlignment="1">
      <alignment vertical="center" wrapText="1"/>
    </xf>
    <xf numFmtId="164" fontId="4" fillId="2" borderId="0" xfId="1" applyNumberFormat="1" applyFont="1" applyFill="1" applyAlignment="1">
      <alignment horizontal="center" vertical="center" wrapText="1"/>
    </xf>
    <xf numFmtId="0" fontId="2" fillId="2" borderId="16" xfId="0" applyFont="1" applyFill="1" applyBorder="1" applyAlignment="1">
      <alignment horizontal="justify" vertical="center" wrapText="1"/>
    </xf>
    <xf numFmtId="0" fontId="2" fillId="2" borderId="6" xfId="0" applyFont="1" applyFill="1" applyBorder="1" applyAlignment="1">
      <alignment horizontal="justify" vertical="center" wrapText="1"/>
    </xf>
    <xf numFmtId="0" fontId="0" fillId="2" borderId="18" xfId="0" applyFont="1" applyFill="1" applyBorder="1" applyAlignment="1">
      <alignment horizontal="center" vertical="center" wrapText="1"/>
    </xf>
    <xf numFmtId="1" fontId="0" fillId="2" borderId="18"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6" xfId="0" applyFont="1" applyFill="1" applyBorder="1" applyAlignment="1">
      <alignment horizontal="left" vertical="center" wrapText="1"/>
    </xf>
    <xf numFmtId="0" fontId="0" fillId="2" borderId="6" xfId="0" applyFont="1" applyFill="1" applyBorder="1" applyAlignment="1">
      <alignment horizontal="left" vertical="center" wrapText="1"/>
    </xf>
    <xf numFmtId="14" fontId="0" fillId="2" borderId="1" xfId="3" applyNumberFormat="1" applyFont="1" applyFill="1" applyBorder="1" applyAlignment="1">
      <alignment horizontal="center" vertical="center" wrapText="1"/>
    </xf>
    <xf numFmtId="10" fontId="5" fillId="2" borderId="0" xfId="2" applyNumberFormat="1" applyFont="1" applyFill="1" applyAlignment="1">
      <alignment horizontal="center" vertical="center"/>
    </xf>
    <xf numFmtId="0" fontId="5" fillId="0" borderId="0" xfId="0" applyFont="1" applyAlignment="1">
      <alignment horizontal="left" vertical="center"/>
    </xf>
    <xf numFmtId="0" fontId="5" fillId="0" borderId="0" xfId="0" applyNumberFormat="1" applyFont="1" applyAlignment="1">
      <alignment horizontal="center" vertical="center"/>
    </xf>
    <xf numFmtId="168" fontId="5" fillId="0" borderId="0" xfId="0" applyNumberFormat="1" applyFont="1" applyAlignment="1">
      <alignment horizontal="center" vertical="center"/>
    </xf>
    <xf numFmtId="0" fontId="0" fillId="2" borderId="0" xfId="0" applyFill="1" applyAlignment="1">
      <alignment horizontal="center" vertical="center"/>
    </xf>
    <xf numFmtId="0" fontId="5" fillId="0" borderId="0" xfId="0" applyFont="1" applyAlignment="1">
      <alignment vertical="center"/>
    </xf>
    <xf numFmtId="0" fontId="5" fillId="2" borderId="0" xfId="0" applyFont="1" applyFill="1" applyAlignment="1">
      <alignment horizontal="center" vertical="center"/>
    </xf>
    <xf numFmtId="164" fontId="5" fillId="2" borderId="0" xfId="0" applyNumberFormat="1" applyFont="1" applyFill="1" applyAlignment="1">
      <alignment vertical="center"/>
    </xf>
    <xf numFmtId="10" fontId="0" fillId="2" borderId="0" xfId="2" applyNumberFormat="1" applyFont="1" applyFill="1" applyAlignment="1">
      <alignment horizontal="center" vertical="center"/>
    </xf>
    <xf numFmtId="0" fontId="0" fillId="0" borderId="0" xfId="0" applyNumberFormat="1" applyAlignment="1">
      <alignment vertical="center"/>
    </xf>
    <xf numFmtId="172" fontId="0" fillId="2" borderId="1" xfId="0" applyNumberFormat="1" applyFont="1" applyFill="1" applyBorder="1" applyAlignment="1">
      <alignment horizontal="center" vertical="center"/>
    </xf>
    <xf numFmtId="174" fontId="21" fillId="2" borderId="1" xfId="5" applyNumberFormat="1" applyFont="1" applyFill="1" applyBorder="1" applyAlignment="1" applyProtection="1">
      <alignment horizontal="center" vertical="center" wrapText="1"/>
      <protection locked="0"/>
    </xf>
    <xf numFmtId="173" fontId="0" fillId="2" borderId="1" xfId="0" applyNumberFormat="1" applyFont="1" applyFill="1" applyBorder="1" applyAlignment="1" applyProtection="1">
      <alignment horizontal="center" vertical="center" wrapText="1"/>
      <protection locked="0"/>
    </xf>
    <xf numFmtId="14" fontId="0" fillId="2" borderId="1" xfId="0" applyNumberFormat="1" applyFont="1" applyFill="1" applyBorder="1" applyAlignment="1" applyProtection="1">
      <alignment horizontal="center" vertical="center" wrapText="1"/>
      <protection locked="0"/>
    </xf>
    <xf numFmtId="177" fontId="0" fillId="2" borderId="1" xfId="0" applyNumberFormat="1" applyFont="1" applyFill="1" applyBorder="1" applyAlignment="1" applyProtection="1">
      <alignment horizontal="center" vertical="center" wrapText="1"/>
      <protection locked="0"/>
    </xf>
    <xf numFmtId="176" fontId="0" fillId="2" borderId="1" xfId="5" applyNumberFormat="1" applyFont="1" applyFill="1" applyBorder="1" applyAlignment="1" applyProtection="1">
      <alignment horizontal="center" vertical="center" wrapText="1"/>
      <protection locked="0"/>
    </xf>
    <xf numFmtId="49" fontId="0" fillId="2" borderId="1" xfId="0" applyNumberFormat="1" applyFont="1" applyFill="1" applyBorder="1" applyAlignment="1" applyProtection="1">
      <alignment horizontal="justify" vertical="center" wrapText="1"/>
      <protection locked="0"/>
    </xf>
    <xf numFmtId="1" fontId="0" fillId="2" borderId="1" xfId="0" applyNumberFormat="1" applyFont="1" applyFill="1" applyBorder="1" applyAlignment="1">
      <alignment horizontal="center" vertical="center" wrapText="1"/>
    </xf>
    <xf numFmtId="164" fontId="0" fillId="2" borderId="1" xfId="0" applyNumberFormat="1" applyFont="1" applyFill="1" applyBorder="1" applyAlignment="1" applyProtection="1">
      <alignment horizontal="center" vertical="center" wrapText="1"/>
      <protection locked="0"/>
    </xf>
    <xf numFmtId="1" fontId="0" fillId="2" borderId="0" xfId="0" applyNumberFormat="1" applyFont="1" applyFill="1" applyBorder="1" applyAlignment="1">
      <alignment horizontal="left" vertical="center" wrapText="1"/>
    </xf>
    <xf numFmtId="170" fontId="1" fillId="2" borderId="1" xfId="5" applyNumberFormat="1" applyFont="1" applyFill="1" applyBorder="1" applyAlignment="1" applyProtection="1">
      <alignment horizontal="center" vertical="center" wrapText="1"/>
      <protection locked="0"/>
    </xf>
    <xf numFmtId="164" fontId="1" fillId="2" borderId="1" xfId="3" applyNumberFormat="1" applyFont="1" applyFill="1" applyBorder="1" applyAlignment="1" applyProtection="1">
      <alignment horizontal="center" vertical="center" wrapText="1"/>
      <protection locked="0"/>
    </xf>
    <xf numFmtId="1" fontId="0" fillId="2" borderId="0" xfId="0" quotePrefix="1" applyNumberFormat="1" applyFont="1" applyFill="1" applyBorder="1" applyAlignment="1">
      <alignment horizontal="left" vertical="center" wrapText="1"/>
    </xf>
    <xf numFmtId="1" fontId="0" fillId="2" borderId="1" xfId="0" applyNumberFormat="1" applyFont="1" applyFill="1" applyBorder="1" applyAlignment="1">
      <alignment horizontal="left" vertical="center" wrapText="1"/>
    </xf>
    <xf numFmtId="179" fontId="19" fillId="2" borderId="1" xfId="5" applyNumberFormat="1" applyFont="1" applyFill="1" applyBorder="1" applyAlignment="1">
      <alignment vertical="center"/>
    </xf>
    <xf numFmtId="164" fontId="19" fillId="2" borderId="1" xfId="5" applyNumberFormat="1" applyFont="1" applyFill="1" applyBorder="1" applyAlignment="1">
      <alignment horizontal="right" vertical="center"/>
    </xf>
    <xf numFmtId="0" fontId="0" fillId="2" borderId="0" xfId="0" quotePrefix="1" applyFont="1" applyFill="1" applyBorder="1" applyAlignment="1">
      <alignment horizontal="justify" vertical="center" wrapText="1"/>
    </xf>
    <xf numFmtId="164" fontId="1" fillId="2" borderId="1" xfId="5" applyNumberFormat="1" applyFont="1" applyFill="1" applyBorder="1" applyAlignment="1" applyProtection="1">
      <alignment horizontal="right" vertical="center" wrapText="1"/>
    </xf>
    <xf numFmtId="0" fontId="0" fillId="2" borderId="0" xfId="0" applyFont="1" applyFill="1" applyBorder="1" applyAlignment="1">
      <alignment vertical="center" wrapText="1"/>
    </xf>
    <xf numFmtId="0" fontId="0" fillId="2" borderId="0" xfId="0" applyFont="1" applyFill="1" applyBorder="1" applyAlignment="1">
      <alignment vertical="center"/>
    </xf>
    <xf numFmtId="0" fontId="0" fillId="2" borderId="1" xfId="0" applyFill="1" applyBorder="1"/>
    <xf numFmtId="0" fontId="2" fillId="3" borderId="18" xfId="0" applyFont="1" applyFill="1" applyBorder="1" applyAlignment="1">
      <alignment horizontal="center" vertical="center" wrapText="1"/>
    </xf>
    <xf numFmtId="0" fontId="16" fillId="2" borderId="0" xfId="0" applyFont="1" applyFill="1" applyAlignment="1">
      <alignment horizontal="left" vertical="center" wrapText="1"/>
    </xf>
    <xf numFmtId="0" fontId="16" fillId="2" borderId="0" xfId="0" applyFont="1" applyFill="1" applyAlignment="1">
      <alignment horizontal="center" vertical="center" wrapText="1"/>
    </xf>
    <xf numFmtId="3" fontId="16" fillId="2" borderId="0" xfId="0" applyNumberFormat="1" applyFont="1" applyFill="1" applyAlignment="1">
      <alignment horizontal="left" vertical="center" wrapText="1"/>
    </xf>
    <xf numFmtId="0" fontId="4" fillId="10" borderId="10" xfId="0" applyFont="1" applyFill="1" applyBorder="1" applyAlignment="1">
      <alignment horizontal="center" vertical="center" wrapText="1"/>
    </xf>
    <xf numFmtId="0" fontId="4" fillId="10" borderId="12" xfId="0" applyFont="1" applyFill="1" applyBorder="1" applyAlignment="1">
      <alignment horizontal="left" vertical="center" wrapText="1"/>
    </xf>
    <xf numFmtId="165" fontId="9" fillId="0" borderId="0" xfId="0" applyNumberFormat="1" applyFont="1" applyAlignment="1">
      <alignment horizontal="center" vertical="center"/>
    </xf>
    <xf numFmtId="169" fontId="9" fillId="5" borderId="1" xfId="0" applyNumberFormat="1" applyFont="1" applyFill="1" applyBorder="1" applyAlignment="1">
      <alignment horizontal="right" vertical="center"/>
    </xf>
    <xf numFmtId="164" fontId="9" fillId="2" borderId="1" xfId="0" applyNumberFormat="1" applyFont="1" applyFill="1" applyBorder="1" applyAlignment="1">
      <alignment horizontal="right" vertical="center"/>
    </xf>
    <xf numFmtId="10" fontId="9" fillId="0" borderId="1" xfId="2" applyNumberFormat="1" applyFont="1" applyBorder="1" applyAlignment="1">
      <alignment horizontal="center" vertical="center"/>
    </xf>
    <xf numFmtId="164" fontId="9" fillId="0" borderId="1" xfId="0" applyNumberFormat="1" applyFont="1" applyBorder="1" applyAlignment="1">
      <alignment horizontal="right" vertical="center"/>
    </xf>
    <xf numFmtId="169" fontId="9" fillId="5" borderId="1" xfId="0" applyNumberFormat="1" applyFont="1" applyFill="1" applyBorder="1" applyAlignment="1">
      <alignment vertical="center"/>
    </xf>
    <xf numFmtId="169" fontId="9" fillId="5" borderId="2" xfId="0" applyNumberFormat="1" applyFont="1" applyFill="1" applyBorder="1" applyAlignment="1">
      <alignment vertical="center"/>
    </xf>
    <xf numFmtId="169" fontId="9" fillId="5" borderId="13" xfId="0" applyNumberFormat="1" applyFont="1" applyFill="1" applyBorder="1" applyAlignment="1">
      <alignment vertical="center"/>
    </xf>
    <xf numFmtId="169" fontId="15" fillId="5" borderId="1" xfId="0" applyNumberFormat="1" applyFont="1" applyFill="1" applyBorder="1" applyAlignment="1">
      <alignment horizontal="right" vertical="center"/>
    </xf>
    <xf numFmtId="0" fontId="13"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9" fillId="5" borderId="1" xfId="0" applyFont="1" applyFill="1" applyBorder="1" applyAlignment="1">
      <alignment horizontal="left" vertical="center"/>
    </xf>
    <xf numFmtId="0" fontId="9" fillId="2" borderId="1" xfId="0" applyFont="1" applyFill="1" applyBorder="1" applyAlignment="1">
      <alignment horizontal="left" vertical="center"/>
    </xf>
    <xf numFmtId="164" fontId="9" fillId="2" borderId="2" xfId="0" applyNumberFormat="1" applyFont="1" applyFill="1" applyBorder="1" applyAlignment="1">
      <alignment horizontal="right" vertical="center"/>
    </xf>
    <xf numFmtId="164" fontId="9" fillId="2" borderId="9" xfId="0" applyNumberFormat="1" applyFont="1" applyFill="1" applyBorder="1" applyAlignment="1">
      <alignment horizontal="right" vertical="center"/>
    </xf>
    <xf numFmtId="164" fontId="9" fillId="2" borderId="13" xfId="0" applyNumberFormat="1" applyFont="1" applyFill="1" applyBorder="1" applyAlignment="1">
      <alignment horizontal="right" vertical="center"/>
    </xf>
    <xf numFmtId="164" fontId="9" fillId="5" borderId="2" xfId="0" applyNumberFormat="1" applyFont="1" applyFill="1" applyBorder="1" applyAlignment="1">
      <alignment horizontal="right" vertical="center"/>
    </xf>
    <xf numFmtId="164" fontId="9" fillId="5" borderId="9" xfId="0" applyNumberFormat="1" applyFont="1" applyFill="1" applyBorder="1" applyAlignment="1">
      <alignment horizontal="right" vertical="center"/>
    </xf>
    <xf numFmtId="164" fontId="9" fillId="5" borderId="13" xfId="0" applyNumberFormat="1" applyFont="1" applyFill="1" applyBorder="1" applyAlignment="1">
      <alignment horizontal="right" vertical="center"/>
    </xf>
    <xf numFmtId="165" fontId="9" fillId="2" borderId="1" xfId="2" applyNumberFormat="1" applyFont="1" applyFill="1" applyBorder="1" applyAlignment="1">
      <alignment horizontal="center" vertical="center"/>
    </xf>
    <xf numFmtId="164" fontId="9" fillId="5" borderId="1" xfId="0" applyNumberFormat="1" applyFont="1" applyFill="1" applyBorder="1" applyAlignment="1">
      <alignment horizontal="right" vertical="center"/>
    </xf>
    <xf numFmtId="165" fontId="9" fillId="5" borderId="1" xfId="2" applyNumberFormat="1" applyFont="1" applyFill="1" applyBorder="1" applyAlignment="1">
      <alignment horizontal="center" vertical="center"/>
    </xf>
    <xf numFmtId="164" fontId="8" fillId="5" borderId="2" xfId="0" applyNumberFormat="1" applyFont="1" applyFill="1" applyBorder="1" applyAlignment="1">
      <alignment horizontal="right" vertical="center"/>
    </xf>
    <xf numFmtId="164" fontId="8" fillId="5" borderId="9" xfId="0" applyNumberFormat="1" applyFont="1" applyFill="1" applyBorder="1" applyAlignment="1">
      <alignment horizontal="right" vertical="center"/>
    </xf>
    <xf numFmtId="164" fontId="8" fillId="5" borderId="13" xfId="0" applyNumberFormat="1" applyFont="1" applyFill="1" applyBorder="1" applyAlignment="1">
      <alignment horizontal="right" vertical="center"/>
    </xf>
    <xf numFmtId="0" fontId="10" fillId="8" borderId="15" xfId="0" applyFont="1" applyFill="1" applyBorder="1" applyAlignment="1">
      <alignment horizontal="center" vertical="center" wrapText="1"/>
    </xf>
    <xf numFmtId="0" fontId="10" fillId="8" borderId="0" xfId="0" applyFont="1" applyFill="1" applyBorder="1" applyAlignment="1">
      <alignment horizontal="center" vertical="center"/>
    </xf>
    <xf numFmtId="0" fontId="8" fillId="6" borderId="10" xfId="0" applyFont="1" applyFill="1" applyBorder="1" applyAlignment="1">
      <alignment horizontal="center" vertical="center"/>
    </xf>
    <xf numFmtId="0" fontId="8" fillId="6" borderId="11" xfId="0" applyFont="1" applyFill="1" applyBorder="1" applyAlignment="1">
      <alignment horizontal="center" vertical="center"/>
    </xf>
    <xf numFmtId="0" fontId="8" fillId="6" borderId="15" xfId="0" applyFont="1" applyFill="1" applyBorder="1" applyAlignment="1">
      <alignment horizontal="center" vertical="center"/>
    </xf>
    <xf numFmtId="0" fontId="8" fillId="6" borderId="0" xfId="0" applyFont="1" applyFill="1" applyBorder="1" applyAlignment="1">
      <alignment horizontal="center" vertical="center"/>
    </xf>
    <xf numFmtId="0" fontId="8" fillId="6" borderId="1" xfId="0" applyFont="1" applyFill="1" applyBorder="1" applyAlignment="1">
      <alignment horizontal="center" vertical="center"/>
    </xf>
    <xf numFmtId="164" fontId="8" fillId="4" borderId="1" xfId="0" applyNumberFormat="1" applyFont="1" applyFill="1" applyBorder="1" applyAlignment="1">
      <alignment horizontal="right" vertical="center"/>
    </xf>
    <xf numFmtId="10" fontId="8" fillId="4" borderId="1" xfId="2" applyNumberFormat="1" applyFont="1" applyFill="1" applyBorder="1" applyAlignment="1">
      <alignment horizontal="center" vertical="center"/>
    </xf>
    <xf numFmtId="0" fontId="10" fillId="8" borderId="17" xfId="0" applyFont="1" applyFill="1" applyBorder="1" applyAlignment="1">
      <alignment horizontal="center" vertical="center" wrapText="1"/>
    </xf>
    <xf numFmtId="0" fontId="10" fillId="8" borderId="17" xfId="0" applyFont="1" applyFill="1" applyBorder="1" applyAlignment="1">
      <alignment horizontal="center" vertical="center"/>
    </xf>
    <xf numFmtId="0" fontId="7" fillId="6" borderId="15" xfId="0" applyFont="1" applyFill="1" applyBorder="1" applyAlignment="1">
      <alignment horizontal="center" vertical="center" wrapText="1"/>
    </xf>
    <xf numFmtId="0" fontId="7" fillId="6" borderId="0" xfId="0" applyFont="1" applyFill="1" applyBorder="1" applyAlignment="1">
      <alignment horizontal="center" vertical="center" wrapText="1"/>
    </xf>
    <xf numFmtId="169" fontId="9" fillId="2" borderId="1" xfId="0" applyNumberFormat="1" applyFont="1" applyFill="1" applyBorder="1" applyAlignment="1">
      <alignment horizontal="right" vertical="center"/>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13" fillId="7" borderId="1" xfId="0" applyFont="1" applyFill="1" applyBorder="1" applyAlignment="1">
      <alignment horizontal="center" vertical="center" wrapText="1"/>
    </xf>
    <xf numFmtId="169" fontId="9" fillId="2" borderId="2" xfId="0" applyNumberFormat="1" applyFont="1" applyFill="1" applyBorder="1" applyAlignment="1">
      <alignment vertical="center"/>
    </xf>
    <xf numFmtId="169" fontId="9" fillId="2" borderId="13" xfId="0" applyNumberFormat="1" applyFont="1" applyFill="1" applyBorder="1" applyAlignment="1">
      <alignment vertical="center"/>
    </xf>
    <xf numFmtId="169" fontId="8" fillId="4" borderId="1" xfId="0" applyNumberFormat="1" applyFont="1" applyFill="1" applyBorder="1" applyAlignment="1">
      <alignment horizontal="right" vertical="center"/>
    </xf>
    <xf numFmtId="0" fontId="14"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169" fontId="9" fillId="0" borderId="1" xfId="0" applyNumberFormat="1" applyFont="1" applyBorder="1" applyAlignment="1">
      <alignment horizontal="right" vertical="center"/>
    </xf>
    <xf numFmtId="10" fontId="9" fillId="5" borderId="1" xfId="2" applyNumberFormat="1" applyFont="1" applyFill="1" applyBorder="1" applyAlignment="1">
      <alignment horizontal="center" vertical="center"/>
    </xf>
    <xf numFmtId="165" fontId="8" fillId="5" borderId="2" xfId="2" applyNumberFormat="1" applyFont="1" applyFill="1" applyBorder="1" applyAlignment="1">
      <alignment horizontal="center" vertical="center"/>
    </xf>
    <xf numFmtId="165" fontId="8" fillId="5" borderId="9" xfId="2" applyNumberFormat="1" applyFont="1" applyFill="1" applyBorder="1" applyAlignment="1">
      <alignment horizontal="center" vertical="center"/>
    </xf>
    <xf numFmtId="165" fontId="8" fillId="5" borderId="13" xfId="2" applyNumberFormat="1" applyFont="1" applyFill="1" applyBorder="1" applyAlignment="1">
      <alignment horizontal="center" vertical="center"/>
    </xf>
    <xf numFmtId="10" fontId="8" fillId="4" borderId="2" xfId="2" applyNumberFormat="1" applyFont="1" applyFill="1" applyBorder="1" applyAlignment="1">
      <alignment horizontal="center" vertical="center"/>
    </xf>
    <xf numFmtId="10" fontId="8" fillId="4" borderId="13" xfId="2" applyNumberFormat="1" applyFont="1" applyFill="1" applyBorder="1" applyAlignment="1">
      <alignment horizontal="center" vertical="center"/>
    </xf>
    <xf numFmtId="169" fontId="15" fillId="2" borderId="1" xfId="0" applyNumberFormat="1" applyFont="1" applyFill="1" applyBorder="1" applyAlignment="1">
      <alignment horizontal="right" vertical="center"/>
    </xf>
    <xf numFmtId="165" fontId="8" fillId="12" borderId="1" xfId="2" applyNumberFormat="1" applyFont="1" applyFill="1" applyBorder="1" applyAlignment="1">
      <alignment horizontal="center" vertical="center"/>
    </xf>
    <xf numFmtId="165" fontId="8" fillId="18" borderId="2" xfId="2" applyNumberFormat="1" applyFont="1" applyFill="1" applyBorder="1" applyAlignment="1">
      <alignment horizontal="center" vertical="center"/>
    </xf>
    <xf numFmtId="165" fontId="8" fillId="18" borderId="9" xfId="2" applyNumberFormat="1" applyFont="1" applyFill="1" applyBorder="1" applyAlignment="1">
      <alignment horizontal="center" vertical="center"/>
    </xf>
    <xf numFmtId="165" fontId="8" fillId="18" borderId="13" xfId="2" applyNumberFormat="1" applyFont="1" applyFill="1" applyBorder="1" applyAlignment="1">
      <alignment horizontal="center" vertical="center"/>
    </xf>
    <xf numFmtId="165" fontId="8" fillId="17" borderId="1" xfId="2" applyNumberFormat="1" applyFont="1" applyFill="1" applyBorder="1" applyAlignment="1">
      <alignment horizontal="center" vertical="center"/>
    </xf>
    <xf numFmtId="0" fontId="7" fillId="6" borderId="6"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8" fillId="6" borderId="7" xfId="0" applyFont="1" applyFill="1" applyBorder="1" applyAlignment="1">
      <alignment horizontal="center" vertical="center"/>
    </xf>
    <xf numFmtId="0" fontId="8" fillId="6" borderId="8" xfId="0" applyFont="1" applyFill="1" applyBorder="1" applyAlignment="1">
      <alignment horizontal="center" vertical="center"/>
    </xf>
    <xf numFmtId="0" fontId="8" fillId="6" borderId="14" xfId="0" applyFont="1" applyFill="1" applyBorder="1" applyAlignment="1">
      <alignment horizontal="center" vertical="center"/>
    </xf>
    <xf numFmtId="165" fontId="8" fillId="17" borderId="2" xfId="2" applyNumberFormat="1" applyFont="1" applyFill="1" applyBorder="1" applyAlignment="1">
      <alignment horizontal="center" vertical="center"/>
    </xf>
    <xf numFmtId="165" fontId="8" fillId="17" borderId="9" xfId="2" applyNumberFormat="1" applyFont="1" applyFill="1" applyBorder="1" applyAlignment="1">
      <alignment horizontal="center" vertical="center"/>
    </xf>
    <xf numFmtId="165" fontId="8" fillId="17" borderId="13" xfId="2" applyNumberFormat="1" applyFont="1" applyFill="1" applyBorder="1" applyAlignment="1">
      <alignment horizontal="center" vertical="center"/>
    </xf>
    <xf numFmtId="164" fontId="8" fillId="4" borderId="2" xfId="0" applyNumberFormat="1" applyFont="1" applyFill="1" applyBorder="1" applyAlignment="1">
      <alignment horizontal="right" vertical="center"/>
    </xf>
    <xf numFmtId="164" fontId="8" fillId="4" borderId="9" xfId="0" applyNumberFormat="1" applyFont="1" applyFill="1" applyBorder="1" applyAlignment="1">
      <alignment horizontal="right" vertical="center"/>
    </xf>
    <xf numFmtId="164" fontId="8" fillId="4" borderId="13" xfId="0" applyNumberFormat="1" applyFont="1" applyFill="1" applyBorder="1" applyAlignment="1">
      <alignment horizontal="right" vertical="center"/>
    </xf>
    <xf numFmtId="0" fontId="9" fillId="2" borderId="0" xfId="0" applyFont="1" applyFill="1" applyBorder="1" applyAlignment="1">
      <alignment horizontal="left" vertical="center"/>
    </xf>
    <xf numFmtId="169" fontId="9" fillId="2" borderId="1" xfId="0" applyNumberFormat="1" applyFont="1" applyFill="1" applyBorder="1" applyAlignment="1">
      <alignment vertical="center"/>
    </xf>
    <xf numFmtId="0" fontId="7" fillId="6" borderId="2"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10"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8" fillId="5" borderId="1" xfId="0" applyFont="1" applyFill="1" applyBorder="1" applyAlignment="1">
      <alignment horizontal="left" vertical="center"/>
    </xf>
    <xf numFmtId="169" fontId="9" fillId="0" borderId="2" xfId="0" applyNumberFormat="1" applyFont="1" applyBorder="1" applyAlignment="1">
      <alignment horizontal="right" vertical="center"/>
    </xf>
    <xf numFmtId="169" fontId="9" fillId="0" borderId="13" xfId="0" applyNumberFormat="1" applyFont="1" applyBorder="1" applyAlignment="1">
      <alignment horizontal="right" vertical="center"/>
    </xf>
    <xf numFmtId="3" fontId="8" fillId="7" borderId="1" xfId="0" applyNumberFormat="1" applyFont="1" applyFill="1" applyBorder="1" applyAlignment="1">
      <alignment horizontal="center" vertical="center"/>
    </xf>
    <xf numFmtId="0" fontId="10" fillId="8" borderId="1" xfId="0" applyFont="1" applyFill="1" applyBorder="1" applyAlignment="1">
      <alignment horizontal="center" vertical="center" wrapText="1"/>
    </xf>
    <xf numFmtId="0" fontId="10" fillId="8" borderId="1" xfId="0" applyFont="1" applyFill="1" applyBorder="1" applyAlignment="1">
      <alignment horizontal="center" vertical="center"/>
    </xf>
    <xf numFmtId="0" fontId="14" fillId="5" borderId="1" xfId="0" applyFont="1" applyFill="1" applyBorder="1" applyAlignment="1">
      <alignment horizontal="center" vertical="center"/>
    </xf>
    <xf numFmtId="169" fontId="9" fillId="2" borderId="2" xfId="0" applyNumberFormat="1" applyFont="1" applyFill="1" applyBorder="1" applyAlignment="1">
      <alignment horizontal="right" vertical="center"/>
    </xf>
    <xf numFmtId="169" fontId="9" fillId="2" borderId="13" xfId="0" applyNumberFormat="1" applyFont="1" applyFill="1" applyBorder="1" applyAlignment="1">
      <alignment horizontal="right" vertical="center"/>
    </xf>
    <xf numFmtId="169" fontId="15" fillId="0" borderId="1" xfId="0" applyNumberFormat="1" applyFont="1" applyBorder="1" applyAlignment="1">
      <alignment horizontal="right" vertical="center"/>
    </xf>
    <xf numFmtId="10" fontId="9" fillId="5" borderId="2" xfId="2" applyNumberFormat="1" applyFont="1" applyFill="1" applyBorder="1" applyAlignment="1">
      <alignment horizontal="center" vertical="center"/>
    </xf>
    <xf numFmtId="10" fontId="9" fillId="5" borderId="13" xfId="2" applyNumberFormat="1" applyFont="1" applyFill="1" applyBorder="1" applyAlignment="1">
      <alignment horizontal="center" vertical="center"/>
    </xf>
    <xf numFmtId="165" fontId="9" fillId="0" borderId="1" xfId="2" applyNumberFormat="1" applyFont="1" applyBorder="1" applyAlignment="1">
      <alignment horizontal="center" vertical="center"/>
    </xf>
    <xf numFmtId="165" fontId="8" fillId="12" borderId="2" xfId="2" applyNumberFormat="1" applyFont="1" applyFill="1" applyBorder="1" applyAlignment="1">
      <alignment horizontal="center" vertical="center"/>
    </xf>
    <xf numFmtId="165" fontId="8" fillId="12" borderId="9" xfId="2" applyNumberFormat="1" applyFont="1" applyFill="1" applyBorder="1" applyAlignment="1">
      <alignment horizontal="center" vertical="center"/>
    </xf>
    <xf numFmtId="165" fontId="8" fillId="12" borderId="13" xfId="2" applyNumberFormat="1" applyFont="1" applyFill="1" applyBorder="1" applyAlignment="1">
      <alignment horizontal="center" vertical="center"/>
    </xf>
    <xf numFmtId="169" fontId="9" fillId="5" borderId="2" xfId="0" applyNumberFormat="1" applyFont="1" applyFill="1" applyBorder="1" applyAlignment="1">
      <alignment horizontal="right" vertical="center"/>
    </xf>
    <xf numFmtId="169" fontId="9" fillId="5" borderId="13" xfId="0" applyNumberFormat="1" applyFont="1" applyFill="1" applyBorder="1" applyAlignment="1">
      <alignment horizontal="right" vertical="center"/>
    </xf>
    <xf numFmtId="0" fontId="9" fillId="0" borderId="11" xfId="0" applyFont="1" applyBorder="1" applyAlignment="1">
      <alignment horizontal="left" vertical="center"/>
    </xf>
    <xf numFmtId="3" fontId="9" fillId="2" borderId="11" xfId="0" applyNumberFormat="1" applyFont="1" applyFill="1" applyBorder="1" applyAlignment="1">
      <alignment horizontal="justify" vertical="center" wrapText="1"/>
    </xf>
    <xf numFmtId="3" fontId="9" fillId="2" borderId="0" xfId="0" applyNumberFormat="1" applyFont="1" applyFill="1" applyBorder="1" applyAlignment="1">
      <alignment horizontal="justify" vertical="center" wrapText="1"/>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3" fontId="18" fillId="3" borderId="0" xfId="0" applyNumberFormat="1" applyFont="1" applyFill="1" applyAlignment="1">
      <alignment horizontal="center" vertical="center"/>
    </xf>
    <xf numFmtId="0" fontId="5" fillId="3" borderId="0" xfId="0" applyFont="1" applyFill="1" applyAlignment="1">
      <alignment horizontal="center" vertical="center"/>
    </xf>
    <xf numFmtId="15" fontId="6" fillId="9" borderId="0" xfId="0" applyNumberFormat="1" applyFont="1" applyFill="1" applyAlignment="1">
      <alignment horizontal="center" vertical="center"/>
    </xf>
  </cellXfs>
  <cellStyles count="8">
    <cellStyle name="Millares" xfId="6" builtinId="3"/>
    <cellStyle name="Moneda" xfId="5" builtinId="4"/>
    <cellStyle name="Moneda [0]" xfId="1" builtinId="7"/>
    <cellStyle name="Moneda [0] 2" xfId="3"/>
    <cellStyle name="Normal" xfId="0" builtinId="0"/>
    <cellStyle name="Normal 2" xfId="7"/>
    <cellStyle name="Percent" xfId="4"/>
    <cellStyle name="Porcentaje" xfId="2" builtinId="5"/>
  </cellStyles>
  <dxfs count="1678">
    <dxf>
      <numFmt numFmtId="164" formatCode="&quot;$&quot;\ #,##0"/>
    </dxf>
    <dxf>
      <numFmt numFmtId="164" formatCode="&quot;$&quot;\ #,##0"/>
    </dxf>
    <dxf>
      <numFmt numFmtId="164" formatCode="&quot;$&quot;\ #,##0"/>
    </dxf>
    <dxf>
      <numFmt numFmtId="164" formatCode="&quot;$&quot;\ #,##0"/>
    </dxf>
    <dxf>
      <alignment wrapText="1"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right" readingOrder="0"/>
    </dxf>
    <dxf>
      <alignment horizontal="right" readingOrder="0"/>
    </dxf>
    <dxf>
      <numFmt numFmtId="164" formatCode="&quot;$&quot;\ #,##0"/>
    </dxf>
    <dxf>
      <numFmt numFmtId="164" formatCode="&quot;$&quot;\ #,##0"/>
    </dxf>
    <dxf>
      <numFmt numFmtId="164" formatCode="&quot;$&quot;\ #,##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wrapText="1" readingOrder="0"/>
    </dxf>
    <dxf>
      <alignment wrapText="1" readingOrder="0"/>
    </dxf>
    <dxf>
      <alignment wrapText="0" readingOrder="0"/>
    </dxf>
    <dxf>
      <alignment wrapText="0" readingOrder="0"/>
    </dxf>
    <dxf>
      <numFmt numFmtId="164" formatCode="&quot;$&quot;\ #,##0"/>
    </dxf>
    <dxf>
      <numFmt numFmtId="164" formatCode="&quot;$&quot;\ #,##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0" readingOrder="0"/>
    </dxf>
    <dxf>
      <alignment wrapText="0"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right" readingOrder="0"/>
    </dxf>
    <dxf>
      <alignment horizontal="right" readingOrder="0"/>
    </dxf>
    <dxf>
      <alignment horizontal="center" readingOrder="0"/>
    </dxf>
    <dxf>
      <alignment horizontal="center" readingOrder="0"/>
    </dxf>
    <dxf>
      <alignment vertical="center" readingOrder="0"/>
    </dxf>
    <dxf>
      <alignment vertical="center" readingOrder="0"/>
    </dxf>
    <dxf>
      <alignment vertical="bottom" readingOrder="0"/>
    </dxf>
    <dxf>
      <alignment vertical="bottom" readingOrder="0"/>
    </dxf>
    <dxf>
      <alignment wrapText="1" readingOrder="0"/>
    </dxf>
    <dxf>
      <alignment wrapText="1" readingOrder="0"/>
    </dxf>
    <dxf>
      <alignment wrapText="0" readingOrder="0"/>
    </dxf>
    <dxf>
      <alignment wrapText="0" readingOrder="0"/>
    </dxf>
    <dxf>
      <numFmt numFmtId="164" formatCode="&quot;$&quot;\ #,##0"/>
    </dxf>
    <dxf>
      <numFmt numFmtId="164" formatCode="&quot;$&quot;\ #,##0"/>
    </dxf>
    <dxf>
      <numFmt numFmtId="164" formatCode="&quot;$&quot;\ #,##0"/>
    </dxf>
    <dxf>
      <numFmt numFmtId="164" formatCode="&quot;$&quot;\ #,##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164" formatCode="&quot;$&quot;\ #,##0"/>
    </dxf>
    <dxf>
      <numFmt numFmtId="164" formatCode="&quot;$&quot;\ #,##0"/>
    </dxf>
    <dxf>
      <numFmt numFmtId="164" formatCode="&quot;$&quot;\ #,##0"/>
    </dxf>
    <dxf>
      <numFmt numFmtId="164" formatCode="&quot;$&quot;\ #,##0"/>
    </dxf>
    <dxf>
      <numFmt numFmtId="164" formatCode="&quot;$&quot;\ #,##0"/>
    </dxf>
    <dxf>
      <alignment horizontal="center" readingOrder="0"/>
    </dxf>
    <dxf>
      <alignment horizontal="center" readingOrder="0"/>
    </dxf>
    <dxf>
      <alignment wrapText="1" readingOrder="0"/>
    </dxf>
    <dxf>
      <alignment wrapText="1" readingOrder="0"/>
    </dxf>
    <dxf>
      <numFmt numFmtId="164" formatCode="&quot;$&quot;\ #,##0"/>
    </dxf>
    <dxf>
      <numFmt numFmtId="164" formatCode="&quot;$&quot;\ #,##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64" formatCode="&quot;$&quot;\ #,##0"/>
    </dxf>
    <dxf>
      <numFmt numFmtId="164" formatCode="&quot;$&quot;\ #,##0"/>
    </dxf>
    <dxf>
      <numFmt numFmtId="164" formatCode="&quot;$&quot;\ #,##0"/>
    </dxf>
    <dxf>
      <numFmt numFmtId="164" formatCode="&quot;$&quot;\ #,##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4" formatCode="#,##0.00"/>
    </dxf>
    <dxf>
      <alignment horizontal="center" readingOrder="0"/>
    </dxf>
    <dxf>
      <alignment horizontal="center" readingOrder="0"/>
    </dxf>
    <dxf>
      <alignment horizontal="right" readingOrder="0"/>
    </dxf>
    <dxf>
      <alignment horizontal="right" readingOrder="0"/>
    </dxf>
    <dxf>
      <alignment wrapText="1" readingOrder="0"/>
    </dxf>
    <dxf>
      <alignment wrapText="1" readingOrder="0"/>
    </dxf>
    <dxf>
      <numFmt numFmtId="166" formatCode="#,##0.0"/>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2" formatCode="0.00"/>
    </dxf>
    <dxf>
      <numFmt numFmtId="168" formatCode="0.0"/>
    </dxf>
    <dxf>
      <alignment horizontal="center" readingOrder="0"/>
    </dxf>
    <dxf>
      <alignment horizontal="center" readingOrder="0"/>
    </dxf>
    <dxf>
      <alignment horizontal="right" readingOrder="0"/>
    </dxf>
    <dxf>
      <alignment horizontal="right"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numFmt numFmtId="4" formatCode="#,##0.00"/>
    </dxf>
    <dxf>
      <alignment horizontal="center" readingOrder="0"/>
    </dxf>
    <dxf>
      <alignment horizontal="center" readingOrder="0"/>
    </dxf>
    <dxf>
      <alignment horizontal="right" readingOrder="0"/>
    </dxf>
    <dxf>
      <alignment horizontal="right" readingOrder="0"/>
    </dxf>
    <dxf>
      <alignment wrapText="1" readingOrder="0"/>
    </dxf>
    <dxf>
      <alignment wrapText="1" readingOrder="0"/>
    </dxf>
    <dxf>
      <numFmt numFmtId="166" formatCode="#,##0.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wrapText="1" readingOrder="0"/>
    </dxf>
    <dxf>
      <alignment wrapText="1" readingOrder="0"/>
    </dxf>
    <dxf>
      <numFmt numFmtId="2" formatCode="0.00"/>
    </dxf>
    <dxf>
      <numFmt numFmtId="168" formatCode="0.0"/>
    </dxf>
    <dxf>
      <alignment horizontal="center"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wrapText="1" readingOrder="0"/>
    </dxf>
    <dxf>
      <alignment wrapText="1" readingOrder="0"/>
    </dxf>
    <dxf>
      <numFmt numFmtId="2" formatCode="0.00"/>
    </dxf>
    <dxf>
      <numFmt numFmtId="168" formatCode="0.0"/>
    </dxf>
    <dxf>
      <numFmt numFmtId="2" formatCode="0.00"/>
    </dxf>
    <dxf>
      <numFmt numFmtId="2" formatCode="0.00"/>
    </dxf>
    <dxf>
      <numFmt numFmtId="180" formatCode="0.000"/>
    </dxf>
    <dxf>
      <numFmt numFmtId="181" formatCode="0.0000"/>
    </dxf>
    <dxf>
      <numFmt numFmtId="182" formatCode="0.00000"/>
    </dxf>
    <dxf>
      <numFmt numFmtId="183" formatCode="0.000000"/>
    </dxf>
    <dxf>
      <numFmt numFmtId="184" formatCode="0.0000000"/>
    </dxf>
    <dxf>
      <numFmt numFmtId="185" formatCode="0.00000000"/>
    </dxf>
    <dxf>
      <numFmt numFmtId="186" formatCode="0.000000000"/>
    </dxf>
    <dxf>
      <alignment horizontal="center"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horizontal="center" readingOrder="0"/>
    </dxf>
    <dxf>
      <alignment horizontal="center" readingOrder="0"/>
    </dxf>
    <dxf>
      <alignment wrapText="1" readingOrder="0"/>
    </dxf>
    <dxf>
      <alignment wrapText="1" readingOrder="0"/>
    </dxf>
    <dxf>
      <numFmt numFmtId="2" formatCode="0.00"/>
    </dxf>
    <dxf>
      <numFmt numFmtId="168" formatCode="0.0"/>
    </dxf>
    <dxf>
      <alignment horizontal="center"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numFmt numFmtId="171" formatCode="&quot;$&quot;\ #,##0.00"/>
    </dxf>
    <dxf>
      <numFmt numFmtId="171" formatCode="&quot;$&quot;\ #,##0.00"/>
    </dxf>
    <dxf>
      <numFmt numFmtId="171" formatCode="&quot;$&quot;\ #,##0.00"/>
    </dxf>
    <dxf>
      <numFmt numFmtId="171" formatCode="&quot;$&quot;\ #,##0.00"/>
    </dxf>
    <dxf>
      <numFmt numFmtId="171" formatCode="&quot;$&quot;\ #,##0.00"/>
    </dxf>
    <dxf>
      <numFmt numFmtId="171" formatCode="&quot;$&quot;\ #,##0.0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0"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numFmt numFmtId="3" formatCode="#,##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quot;$&quot;\ #,##0"/>
    </dxf>
    <dxf>
      <numFmt numFmtId="164" formatCode="&quot;$&quot;\ #,##0"/>
    </dxf>
    <dxf>
      <numFmt numFmtId="164" formatCode="&quot;$&quot;\ #,##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general" readingOrder="0"/>
    </dxf>
    <dxf>
      <alignment wrapText="1"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wrapText="1" readingOrder="0"/>
    </dxf>
    <dxf>
      <alignment wrapText="0" readingOrder="0"/>
    </dxf>
    <dxf>
      <numFmt numFmtId="3" formatCode="#,##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alignment vertical="bottom" readingOrder="0"/>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alignment wrapText="0" readingOrder="0"/>
    </dxf>
    <dxf>
      <font>
        <sz val="9"/>
      </font>
    </dxf>
    <dxf>
      <font>
        <sz val="9"/>
      </font>
    </dxf>
    <dxf>
      <font>
        <sz val="9"/>
      </font>
    </dxf>
    <dxf>
      <font>
        <sz val="9"/>
      </font>
    </dxf>
    <dxf>
      <font>
        <sz val="9"/>
      </font>
    </dxf>
    <dxf>
      <font>
        <sz val="9"/>
      </font>
    </dxf>
    <dxf>
      <font>
        <sz val="9"/>
      </font>
    </dxf>
    <dxf>
      <font>
        <sz val="9"/>
      </font>
    </dxf>
    <dxf>
      <font>
        <sz val="9"/>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wrapText="1" readingOrder="0"/>
    </dxf>
    <dxf>
      <alignment wrapText="0" readingOrder="0"/>
    </dxf>
    <dxf>
      <numFmt numFmtId="3" formatCode="#,##0"/>
    </dxf>
    <dxf>
      <numFmt numFmtId="3" formatCode="#,##0"/>
    </dxf>
    <dxf>
      <numFmt numFmtId="3" formatCode="#,##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sz val="11"/>
        <color rgb="FF000000"/>
        <name val="Calibri"/>
      </font>
      <alignment horizontal="general" vertical="bottom" textRotation="0" wrapText="0" indent="0" shrinkToFit="0"/>
    </dxf>
    <dxf>
      <font>
        <color theme="0"/>
      </font>
      <fill>
        <patternFill>
          <bgColor theme="0"/>
        </patternFill>
      </fill>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pivotCacheDefinition" Target="pivotCache/pivotCacheDefinition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pivotCacheDefinition" Target="pivotCache/pivotCacheDefinition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177094371725793E-4"/>
          <c:y val="0.1020395232564205"/>
          <c:w val="0.89726977327215851"/>
          <c:h val="0.89796031031176449"/>
        </c:manualLayout>
      </c:layout>
      <c:pie3DChart>
        <c:varyColors val="1"/>
        <c:ser>
          <c:idx val="0"/>
          <c:order val="0"/>
          <c:spPr>
            <a:solidFill>
              <a:srgbClr val="00B0F0"/>
            </a:solidFill>
          </c:spPr>
          <c:explosion val="52"/>
          <c:dPt>
            <c:idx val="0"/>
            <c:bubble3D val="0"/>
            <c:spPr>
              <a:solidFill>
                <a:srgbClr val="00B0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4-B98D-4CDA-BCC7-4289793CCD2A}"/>
              </c:ext>
            </c:extLst>
          </c:dPt>
          <c:dPt>
            <c:idx val="1"/>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B98D-4CDA-BCC7-4289793CCD2A}"/>
              </c:ext>
            </c:extLst>
          </c:dPt>
          <c:dPt>
            <c:idx val="2"/>
            <c:bubble3D val="0"/>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B98D-4CDA-BCC7-4289793CCD2A}"/>
              </c:ext>
            </c:extLst>
          </c:dPt>
          <c:dPt>
            <c:idx val="3"/>
            <c:bubble3D val="0"/>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2-B98D-4CDA-BCC7-4289793CCD2A}"/>
              </c:ext>
            </c:extLst>
          </c:dPt>
          <c:dLbls>
            <c:dLbl>
              <c:idx val="0"/>
              <c:layout>
                <c:manualLayout>
                  <c:x val="8.36804208146147E-2"/>
                  <c:y val="-5.0687531483225808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E1CFF465-0645-4B57-BC36-32A53CDFDA1E}" type="CATEGORYNAME">
                      <a:rPr lang="en-US" sz="800" b="0">
                        <a:solidFill>
                          <a:sysClr val="windowText" lastClr="000000"/>
                        </a:solidFill>
                        <a:latin typeface="+mn-lt"/>
                      </a:rPr>
                      <a:pPr>
                        <a:defRPr sz="800">
                          <a:solidFill>
                            <a:sysClr val="windowText" lastClr="000000"/>
                          </a:solidFill>
                        </a:defRPr>
                      </a:pPr>
                      <a:t>[NOMBRE DE CATEGORÍA]</a:t>
                    </a:fld>
                    <a:r>
                      <a:rPr lang="en-US" sz="800" b="0" baseline="0">
                        <a:solidFill>
                          <a:sysClr val="windowText" lastClr="000000"/>
                        </a:solidFill>
                        <a:latin typeface="+mn-lt"/>
                      </a:rPr>
                      <a:t>
</a:t>
                    </a:r>
                    <a:fld id="{CF87F077-4D09-4C4A-BD8E-1A3EE19336A3}" type="VALUE">
                      <a:rPr lang="en-US" sz="800" b="0" baseline="0">
                        <a:solidFill>
                          <a:sysClr val="windowText" lastClr="000000"/>
                        </a:solidFill>
                        <a:latin typeface="+mn-lt"/>
                      </a:rPr>
                      <a:pPr>
                        <a:defRPr sz="800">
                          <a:solidFill>
                            <a:sysClr val="windowText" lastClr="000000"/>
                          </a:solidFill>
                        </a:defRPr>
                      </a:pPr>
                      <a:t>[VALOR]</a:t>
                    </a:fld>
                    <a:r>
                      <a:rPr lang="en-US" sz="800" b="0" baseline="0">
                        <a:solidFill>
                          <a:sysClr val="windowText" lastClr="000000"/>
                        </a:solidFill>
                        <a:latin typeface="+mn-lt"/>
                      </a:rPr>
                      <a:t>
</a:t>
                    </a:r>
                    <a:fld id="{E46E6C7C-449A-43FF-88ED-A74E27E98F52}" type="PERCENTAGE">
                      <a:rPr lang="en-US" sz="800" b="0" baseline="0">
                        <a:solidFill>
                          <a:sysClr val="windowText" lastClr="000000"/>
                        </a:solidFill>
                        <a:latin typeface="+mn-lt"/>
                      </a:rPr>
                      <a:pPr>
                        <a:defRPr sz="800">
                          <a:solidFill>
                            <a:sysClr val="windowText" lastClr="000000"/>
                          </a:solidFill>
                        </a:defRPr>
                      </a:pPr>
                      <a:t>[PORCENTAJE]</a:t>
                    </a:fld>
                    <a:endParaRPr lang="en-US" sz="800" b="0" baseline="0">
                      <a:solidFill>
                        <a:sysClr val="windowText" lastClr="000000"/>
                      </a:solidFill>
                      <a:latin typeface="+mn-lt"/>
                    </a:endParaRPr>
                  </a:p>
                </c:rich>
              </c:tx>
              <c:numFmt formatCode="0.0%" sourceLinked="0"/>
              <c:spPr>
                <a:noFill/>
                <a:ln>
                  <a:noFill/>
                </a:ln>
                <a:effectLst>
                  <a:glow rad="127000">
                    <a:srgbClr val="FF0000"/>
                  </a:glow>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4-B98D-4CDA-BCC7-4289793CCD2A}"/>
                </c:ext>
                <c:ext xmlns:c15="http://schemas.microsoft.com/office/drawing/2012/chart" uri="{CE6537A1-D6FC-4f65-9D91-7224C49458BB}">
                  <c15:layout>
                    <c:manualLayout>
                      <c:w val="0.20428830262698383"/>
                      <c:h val="0.22842418435684611"/>
                    </c:manualLayout>
                  </c15:layout>
                  <c15:dlblFieldTable/>
                  <c15:showDataLabelsRange val="0"/>
                </c:ext>
              </c:extLst>
            </c:dLbl>
            <c:dLbl>
              <c:idx val="1"/>
              <c:layout>
                <c:manualLayout>
                  <c:x val="-0.26246203414874403"/>
                  <c:y val="-3.4927303459070115E-2"/>
                </c:manualLayout>
              </c:layout>
              <c:tx>
                <c:rich>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fld id="{64A43F35-95A0-4F4E-A888-F27B877AB488}" type="CATEGORYNAME">
                      <a:rPr lang="en-US" sz="800" b="0">
                        <a:solidFill>
                          <a:sysClr val="windowText" lastClr="000000"/>
                        </a:solidFill>
                        <a:latin typeface="+mn-lt"/>
                      </a:rPr>
                      <a:pPr>
                        <a:defRPr sz="800">
                          <a:solidFill>
                            <a:sysClr val="windowText" lastClr="000000"/>
                          </a:solidFill>
                        </a:defRPr>
                      </a:pPr>
                      <a:t>[NOMBRE DE CATEGORÍA]</a:t>
                    </a:fld>
                    <a:r>
                      <a:rPr lang="en-US" sz="800" b="0" baseline="0">
                        <a:solidFill>
                          <a:sysClr val="windowText" lastClr="000000"/>
                        </a:solidFill>
                        <a:latin typeface="+mn-lt"/>
                      </a:rPr>
                      <a:t>
</a:t>
                    </a:r>
                    <a:fld id="{31107EBA-40F1-4A3E-96DD-E904FFA6FF30}" type="VALUE">
                      <a:rPr lang="en-US" sz="800" b="0" baseline="0">
                        <a:solidFill>
                          <a:sysClr val="windowText" lastClr="000000"/>
                        </a:solidFill>
                        <a:latin typeface="+mn-lt"/>
                      </a:rPr>
                      <a:pPr>
                        <a:defRPr sz="800">
                          <a:solidFill>
                            <a:sysClr val="windowText" lastClr="000000"/>
                          </a:solidFill>
                        </a:defRPr>
                      </a:pPr>
                      <a:t>[VALOR]</a:t>
                    </a:fld>
                    <a:r>
                      <a:rPr lang="en-US" sz="800" b="0" baseline="0">
                        <a:solidFill>
                          <a:sysClr val="windowText" lastClr="000000"/>
                        </a:solidFill>
                        <a:latin typeface="+mn-lt"/>
                      </a:rPr>
                      <a:t>
</a:t>
                    </a:r>
                    <a:fld id="{62206C84-115D-41EB-B1B0-571C7628C255}" type="PERCENTAGE">
                      <a:rPr lang="en-US" sz="800" b="0" baseline="0">
                        <a:solidFill>
                          <a:sysClr val="windowText" lastClr="000000"/>
                        </a:solidFill>
                        <a:latin typeface="+mn-lt"/>
                      </a:rPr>
                      <a:pPr>
                        <a:defRPr sz="800">
                          <a:solidFill>
                            <a:sysClr val="windowText" lastClr="000000"/>
                          </a:solidFill>
                        </a:defRPr>
                      </a:pPr>
                      <a:t>[PORCENTAJE]</a:t>
                    </a:fld>
                    <a:endParaRPr lang="en-US" sz="800" b="0" baseline="0">
                      <a:solidFill>
                        <a:sysClr val="windowText" lastClr="000000"/>
                      </a:solidFill>
                      <a:latin typeface="+mn-lt"/>
                    </a:endParaRPr>
                  </a:p>
                </c:rich>
              </c:tx>
              <c:numFmt formatCode="0.0%" sourceLinked="0"/>
              <c:spPr>
                <a:noFill/>
                <a:ln>
                  <a:noFill/>
                </a:ln>
                <a:effectLst>
                  <a:glow rad="127000">
                    <a:srgbClr val="FF0000"/>
                  </a:glow>
                </a:effectLst>
              </c:spPr>
              <c:txPr>
                <a:bodyPr rot="0" spcFirstLastPara="1" vertOverflow="ellipsis" vert="horz" wrap="square" lIns="38100" tIns="19050" rIns="38100" bIns="19050" anchor="ctr" anchorCtr="1">
                  <a:no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B98D-4CDA-BCC7-4289793CCD2A}"/>
                </c:ext>
                <c:ext xmlns:c15="http://schemas.microsoft.com/office/drawing/2012/chart" uri="{CE6537A1-D6FC-4f65-9D91-7224C49458BB}">
                  <c15:layout>
                    <c:manualLayout>
                      <c:w val="0.2447957866300503"/>
                      <c:h val="0.14383173871685831"/>
                    </c:manualLayout>
                  </c15:layout>
                  <c15:dlblFieldTable/>
                  <c15:showDataLabelsRange val="0"/>
                </c:ext>
              </c:extLst>
            </c:dLbl>
            <c:dLbl>
              <c:idx val="2"/>
              <c:layout>
                <c:manualLayout>
                  <c:x val="-7.1081028641363564E-2"/>
                  <c:y val="-0.22730965856099167"/>
                </c:manualLayout>
              </c:layout>
              <c:tx>
                <c:rich>
                  <a:bodyPr/>
                  <a:lstStyle/>
                  <a:p>
                    <a:fld id="{8B1605CA-0767-4C8E-97EA-A6E108CEA221}" type="CATEGORYNAME">
                      <a:rPr lang="en-US" sz="900"/>
                      <a:pPr/>
                      <a:t>[NOMBRE DE CATEGORÍA]</a:t>
                    </a:fld>
                    <a:r>
                      <a:rPr lang="en-US" sz="900" baseline="0"/>
                      <a:t>
</a:t>
                    </a:r>
                    <a:fld id="{04243EF9-342F-46BD-9EBD-4EDD57FAEA06}" type="VALUE">
                      <a:rPr lang="en-US" baseline="0"/>
                      <a:pPr/>
                      <a:t>[VALOR]</a:t>
                    </a:fld>
                    <a:r>
                      <a:rPr lang="en-US" baseline="0"/>
                      <a:t>
</a:t>
                    </a:r>
                    <a:fld id="{9DEB1BB7-3DC8-49B1-B44B-BBAC44C8AD39}" type="PERCENTAGE">
                      <a:rPr lang="en-US" baseline="0"/>
                      <a:pPr/>
                      <a:t>[PORCENTAJE]</a:t>
                    </a:fld>
                    <a:endParaRPr lang="en-US" baseline="0"/>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B98D-4CDA-BCC7-4289793CCD2A}"/>
                </c:ext>
                <c:ext xmlns:c15="http://schemas.microsoft.com/office/drawing/2012/chart" uri="{CE6537A1-D6FC-4f65-9D91-7224C49458BB}">
                  <c15:dlblFieldTable/>
                  <c15:showDataLabelsRange val="0"/>
                </c:ext>
              </c:extLst>
            </c:dLbl>
            <c:dLbl>
              <c:idx val="3"/>
              <c:layout>
                <c:manualLayout>
                  <c:x val="-0.12542664941568035"/>
                  <c:y val="0.16968607362209487"/>
                </c:manualLayout>
              </c:layout>
              <c:tx>
                <c:rich>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fld id="{4AB6BD96-C017-4886-8568-CEED9E952E41}" type="CATEGORYNAME">
                      <a:rPr lang="en-US" sz="800" b="0">
                        <a:latin typeface="+mn-lt"/>
                      </a:rPr>
                      <a:pPr>
                        <a:defRPr sz="800"/>
                      </a:pPr>
                      <a:t>[NOMBRE DE CATEGORÍA]</a:t>
                    </a:fld>
                    <a:r>
                      <a:rPr lang="en-US" sz="800" b="0" baseline="0">
                        <a:latin typeface="+mn-lt"/>
                      </a:rPr>
                      <a:t>
</a:t>
                    </a:r>
                    <a:fld id="{D6084DEA-CF92-44BB-B58F-9731F8C28E9C}" type="VALUE">
                      <a:rPr lang="en-US" sz="800" b="0" baseline="0">
                        <a:latin typeface="+mn-lt"/>
                      </a:rPr>
                      <a:pPr>
                        <a:defRPr sz="800"/>
                      </a:pPr>
                      <a:t>[VALOR]</a:t>
                    </a:fld>
                    <a:r>
                      <a:rPr lang="en-US" sz="800" b="0" baseline="0">
                        <a:latin typeface="+mn-lt"/>
                      </a:rPr>
                      <a:t>
</a:t>
                    </a:r>
                    <a:fld id="{1B72B4A2-3BD8-4576-A528-72BC26537709}" type="PERCENTAGE">
                      <a:rPr lang="en-US" sz="800" b="0" baseline="0">
                        <a:latin typeface="+mn-lt"/>
                      </a:rPr>
                      <a:pPr>
                        <a:defRPr sz="800"/>
                      </a:pPr>
                      <a:t>[PORCENTAJE]</a:t>
                    </a:fld>
                    <a:endParaRPr lang="en-US" sz="800" b="0" baseline="0">
                      <a:latin typeface="+mn-lt"/>
                    </a:endParaRPr>
                  </a:p>
                </c:rich>
              </c:tx>
              <c:numFmt formatCode="0.0%" sourceLinked="0"/>
              <c:spPr>
                <a:noFill/>
                <a:ln>
                  <a:noFill/>
                </a:ln>
                <a:effectLst>
                  <a:glow rad="127000">
                    <a:srgbClr val="FF0000"/>
                  </a:glow>
                </a:effectLst>
              </c:spPr>
              <c:txPr>
                <a:bodyPr rot="0" spcFirstLastPara="1" vertOverflow="ellipsis"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2-B98D-4CDA-BCC7-4289793CCD2A}"/>
                </c:ext>
                <c:ext xmlns:c15="http://schemas.microsoft.com/office/drawing/2012/chart" uri="{CE6537A1-D6FC-4f65-9D91-7224C49458BB}">
                  <c15:layout>
                    <c:manualLayout>
                      <c:w val="0.22398569610901328"/>
                      <c:h val="0.1621311610171644"/>
                    </c:manualLayout>
                  </c15:layout>
                  <c15:dlblFieldTable/>
                  <c15:showDataLabelsRange val="0"/>
                </c:ext>
              </c:extLst>
            </c:dLbl>
            <c:numFmt formatCode="0.0%" sourceLinked="0"/>
            <c:spPr>
              <a:noFill/>
              <a:ln>
                <a:noFill/>
              </a:ln>
              <a:effectLst>
                <a:glow rad="127000">
                  <a:srgbClr val="FF0000"/>
                </a:glow>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EJEC'!$AC$2:$AC$5</c:f>
              <c:strCache>
                <c:ptCount val="4"/>
                <c:pt idx="0">
                  <c:v>Invitación Pública</c:v>
                </c:pt>
                <c:pt idx="1">
                  <c:v>Invitación Privada</c:v>
                </c:pt>
                <c:pt idx="2">
                  <c:v>Acuerdos Comerciales</c:v>
                </c:pt>
                <c:pt idx="3">
                  <c:v>Contratos Marco</c:v>
                </c:pt>
              </c:strCache>
            </c:strRef>
          </c:cat>
          <c:val>
            <c:numRef>
              <c:f>'INF EJEC'!$AD$2:$AD$5</c:f>
              <c:numCache>
                <c:formatCode>"$"\ #,##0.0</c:formatCode>
                <c:ptCount val="4"/>
                <c:pt idx="0">
                  <c:v>0</c:v>
                </c:pt>
                <c:pt idx="1">
                  <c:v>0</c:v>
                </c:pt>
                <c:pt idx="2">
                  <c:v>396.69968499999999</c:v>
                </c:pt>
                <c:pt idx="3">
                  <c:v>0</c:v>
                </c:pt>
              </c:numCache>
            </c:numRef>
          </c:val>
          <c:extLst xmlns:c16r2="http://schemas.microsoft.com/office/drawing/2015/06/chart">
            <c:ext xmlns:c16="http://schemas.microsoft.com/office/drawing/2014/chart" uri="{C3380CC4-5D6E-409C-BE32-E72D297353CC}">
              <c16:uniqueId val="{00000000-B98D-4CDA-BCC7-4289793CCD2A}"/>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7E0A-44AC-BE8A-8E24154077A8}"/>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7E0A-44AC-BE8A-8E24154077A8}"/>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7E0A-44AC-BE8A-8E24154077A8}"/>
              </c:ext>
            </c:extLst>
          </c:dPt>
          <c:cat>
            <c:strRef>
              <c:f>'INF EJEC'!$AC$2:$AC$5</c:f>
              <c:strCache>
                <c:ptCount val="4"/>
                <c:pt idx="0">
                  <c:v>Invitación Pública</c:v>
                </c:pt>
                <c:pt idx="1">
                  <c:v>Invitación Privada</c:v>
                </c:pt>
                <c:pt idx="2">
                  <c:v>Acuerdos Comerciales</c:v>
                </c:pt>
                <c:pt idx="3">
                  <c:v>Contratos Marco</c:v>
                </c:pt>
              </c:strCache>
            </c:strRef>
          </c:cat>
          <c:val>
            <c:numRef>
              <c:f>'INF EJEC'!$AE$2:$AE$4</c:f>
              <c:numCache>
                <c:formatCode>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1-B98D-4CDA-BCC7-4289793CCD2A}"/>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Ahorro</a:t>
            </a:r>
            <a:r>
              <a:rPr lang="en-US" sz="1200" b="1" baseline="0"/>
              <a:t> Invitación Privada</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EJEC'!$O$114:$O$124</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EJEC'!$P$114:$P$124</c:f>
              <c:numCache>
                <c:formatCode>0.00%</c:formatCode>
                <c:ptCount val="11"/>
                <c:pt idx="0">
                  <c:v>0</c:v>
                </c:pt>
                <c:pt idx="1">
                  <c:v>0</c:v>
                </c:pt>
                <c:pt idx="2">
                  <c:v>0</c:v>
                </c:pt>
                <c:pt idx="3">
                  <c:v>0</c:v>
                </c:pt>
                <c:pt idx="4">
                  <c:v>0</c:v>
                </c:pt>
                <c:pt idx="5">
                  <c:v>0</c:v>
                </c:pt>
                <c:pt idx="6">
                  <c:v>5.5930622921709625E-2</c:v>
                </c:pt>
                <c:pt idx="7">
                  <c:v>0</c:v>
                </c:pt>
                <c:pt idx="8">
                  <c:v>4.7708176227240794E-2</c:v>
                </c:pt>
                <c:pt idx="9">
                  <c:v>3.0372883371505917E-3</c:v>
                </c:pt>
                <c:pt idx="10">
                  <c:v>1.4865389635565857E-2</c:v>
                </c:pt>
              </c:numCache>
            </c:numRef>
          </c:val>
          <c:extLst xmlns:c16r2="http://schemas.microsoft.com/office/drawing/2015/06/chart">
            <c:ext xmlns:c16="http://schemas.microsoft.com/office/drawing/2014/chart" uri="{C3380CC4-5D6E-409C-BE32-E72D297353CC}">
              <c16:uniqueId val="{00000000-66F3-4ADC-B1A2-1A6402B0A052}"/>
            </c:ext>
          </c:extLst>
        </c:ser>
        <c:dLbls>
          <c:showLegendKey val="0"/>
          <c:showVal val="0"/>
          <c:showCatName val="0"/>
          <c:showSerName val="0"/>
          <c:showPercent val="0"/>
          <c:showBubbleSize val="0"/>
        </c:dLbls>
        <c:gapWidth val="150"/>
        <c:axId val="-1579059680"/>
        <c:axId val="-1579059136"/>
      </c:barChart>
      <c:lineChart>
        <c:grouping val="standard"/>
        <c:varyColors val="0"/>
        <c:ser>
          <c:idx val="1"/>
          <c:order val="1"/>
          <c:spPr>
            <a:ln w="28575" cap="rnd">
              <a:solidFill>
                <a:schemeClr val="accent2"/>
              </a:solidFill>
              <a:round/>
            </a:ln>
            <a:effectLst/>
          </c:spPr>
          <c:marker>
            <c:symbol val="none"/>
          </c:marker>
          <c:cat>
            <c:strRef>
              <c:f>'INF EJEC'!$O$114:$O$124</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EJEC'!$Q$114:$Q$124</c:f>
              <c:numCache>
                <c:formatCode>0.00%</c:formatCode>
                <c:ptCount val="11"/>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numCache>
            </c:numRef>
          </c:val>
          <c:smooth val="0"/>
          <c:extLst xmlns:c16r2="http://schemas.microsoft.com/office/drawing/2015/06/chart">
            <c:ext xmlns:c16="http://schemas.microsoft.com/office/drawing/2014/chart" uri="{C3380CC4-5D6E-409C-BE32-E72D297353CC}">
              <c16:uniqueId val="{00000001-66F3-4ADC-B1A2-1A6402B0A052}"/>
            </c:ext>
          </c:extLst>
        </c:ser>
        <c:dLbls>
          <c:showLegendKey val="0"/>
          <c:showVal val="0"/>
          <c:showCatName val="0"/>
          <c:showSerName val="0"/>
          <c:showPercent val="0"/>
          <c:showBubbleSize val="0"/>
        </c:dLbls>
        <c:marker val="1"/>
        <c:smooth val="0"/>
        <c:axId val="-1579059680"/>
        <c:axId val="-1579059136"/>
      </c:lineChart>
      <c:catAx>
        <c:axId val="-1579059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9059136"/>
        <c:crosses val="autoZero"/>
        <c:auto val="1"/>
        <c:lblAlgn val="ctr"/>
        <c:lblOffset val="100"/>
        <c:noMultiLvlLbl val="0"/>
      </c:catAx>
      <c:valAx>
        <c:axId val="-15790591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9059680"/>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Ahorro Acuerdos</a:t>
            </a:r>
            <a:r>
              <a:rPr lang="en-US" sz="1200" b="1" baseline="0"/>
              <a:t> Comerciales / Contratos Marco</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EJEC'!$O$132:$O$142</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EJEC'!$P$132:$P$142</c:f>
              <c:numCache>
                <c:formatCode>0.00%</c:formatCode>
                <c:ptCount val="11"/>
                <c:pt idx="0">
                  <c:v>0</c:v>
                </c:pt>
                <c:pt idx="1">
                  <c:v>2.4902494554963236E-2</c:v>
                </c:pt>
                <c:pt idx="2">
                  <c:v>0.11249961149941996</c:v>
                </c:pt>
                <c:pt idx="3">
                  <c:v>0</c:v>
                </c:pt>
                <c:pt idx="4">
                  <c:v>0.10391103905469491</c:v>
                </c:pt>
                <c:pt idx="5">
                  <c:v>2.0890224349951112E-2</c:v>
                </c:pt>
                <c:pt idx="6">
                  <c:v>1.1741397673389369E-2</c:v>
                </c:pt>
                <c:pt idx="7">
                  <c:v>0</c:v>
                </c:pt>
                <c:pt idx="8">
                  <c:v>2.7294152488276838E-2</c:v>
                </c:pt>
                <c:pt idx="9">
                  <c:v>0</c:v>
                </c:pt>
                <c:pt idx="10">
                  <c:v>0</c:v>
                </c:pt>
              </c:numCache>
            </c:numRef>
          </c:val>
          <c:extLst xmlns:c16r2="http://schemas.microsoft.com/office/drawing/2015/06/chart">
            <c:ext xmlns:c16="http://schemas.microsoft.com/office/drawing/2014/chart" uri="{C3380CC4-5D6E-409C-BE32-E72D297353CC}">
              <c16:uniqueId val="{00000000-B456-4B24-A9C2-7302976F5A7D}"/>
            </c:ext>
          </c:extLst>
        </c:ser>
        <c:dLbls>
          <c:showLegendKey val="0"/>
          <c:showVal val="0"/>
          <c:showCatName val="0"/>
          <c:showSerName val="0"/>
          <c:showPercent val="0"/>
          <c:showBubbleSize val="0"/>
        </c:dLbls>
        <c:gapWidth val="150"/>
        <c:axId val="-1667526848"/>
        <c:axId val="-1667527936"/>
      </c:barChart>
      <c:lineChart>
        <c:grouping val="standard"/>
        <c:varyColors val="0"/>
        <c:ser>
          <c:idx val="1"/>
          <c:order val="1"/>
          <c:spPr>
            <a:ln w="28575" cap="rnd">
              <a:solidFill>
                <a:schemeClr val="accent2"/>
              </a:solidFill>
              <a:round/>
            </a:ln>
            <a:effectLst/>
          </c:spPr>
          <c:marker>
            <c:symbol val="none"/>
          </c:marker>
          <c:cat>
            <c:strRef>
              <c:f>'INF EJEC'!$O$132:$O$142</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EJEC'!$Q$132:$Q$142</c:f>
              <c:numCache>
                <c:formatCode>0.00%</c:formatCode>
                <c:ptCount val="11"/>
                <c:pt idx="0">
                  <c:v>1.4999999999999999E-2</c:v>
                </c:pt>
                <c:pt idx="1">
                  <c:v>1.4999999999999999E-2</c:v>
                </c:pt>
                <c:pt idx="2">
                  <c:v>1.4999999999999999E-2</c:v>
                </c:pt>
                <c:pt idx="3">
                  <c:v>1.4999999999999999E-2</c:v>
                </c:pt>
                <c:pt idx="4">
                  <c:v>1.4999999999999999E-2</c:v>
                </c:pt>
                <c:pt idx="5">
                  <c:v>1.4999999999999999E-2</c:v>
                </c:pt>
                <c:pt idx="6">
                  <c:v>1.4999999999999999E-2</c:v>
                </c:pt>
                <c:pt idx="7">
                  <c:v>1.4999999999999999E-2</c:v>
                </c:pt>
                <c:pt idx="8">
                  <c:v>1.4999999999999999E-2</c:v>
                </c:pt>
                <c:pt idx="9">
                  <c:v>1.4999999999999999E-2</c:v>
                </c:pt>
                <c:pt idx="10">
                  <c:v>1.4999999999999999E-2</c:v>
                </c:pt>
              </c:numCache>
            </c:numRef>
          </c:val>
          <c:smooth val="0"/>
          <c:extLst xmlns:c16r2="http://schemas.microsoft.com/office/drawing/2015/06/chart">
            <c:ext xmlns:c16="http://schemas.microsoft.com/office/drawing/2014/chart" uri="{C3380CC4-5D6E-409C-BE32-E72D297353CC}">
              <c16:uniqueId val="{00000001-B456-4B24-A9C2-7302976F5A7D}"/>
            </c:ext>
          </c:extLst>
        </c:ser>
        <c:dLbls>
          <c:showLegendKey val="0"/>
          <c:showVal val="0"/>
          <c:showCatName val="0"/>
          <c:showSerName val="0"/>
          <c:showPercent val="0"/>
          <c:showBubbleSize val="0"/>
        </c:dLbls>
        <c:marker val="1"/>
        <c:smooth val="0"/>
        <c:axId val="-1667526848"/>
        <c:axId val="-1667527936"/>
      </c:lineChart>
      <c:catAx>
        <c:axId val="-166752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7527936"/>
        <c:crosses val="autoZero"/>
        <c:auto val="1"/>
        <c:lblAlgn val="ctr"/>
        <c:lblOffset val="100"/>
        <c:noMultiLvlLbl val="0"/>
      </c:catAx>
      <c:valAx>
        <c:axId val="-1667527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7526848"/>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8374418598056903E-2"/>
          <c:y val="7.734462304479911E-2"/>
          <c:w val="0.91733844855598856"/>
          <c:h val="0.9168345351371594"/>
        </c:manualLayout>
      </c:layout>
      <c:pie3DChart>
        <c:varyColors val="1"/>
        <c:ser>
          <c:idx val="0"/>
          <c:order val="0"/>
          <c:explosion val="47"/>
          <c:dPt>
            <c:idx val="0"/>
            <c:bubble3D val="0"/>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87BF-4AD5-8B45-46D5385003EC}"/>
              </c:ext>
            </c:extLst>
          </c:dPt>
          <c:dPt>
            <c:idx val="1"/>
            <c:bubble3D val="0"/>
            <c:spPr>
              <a:solidFill>
                <a:srgbClr val="00B0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87BF-4AD5-8B45-46D5385003EC}"/>
              </c:ext>
            </c:extLst>
          </c:dPt>
          <c:dPt>
            <c:idx val="2"/>
            <c:bubble3D val="0"/>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7BF-4AD5-8B45-46D5385003EC}"/>
              </c:ext>
            </c:extLst>
          </c:dPt>
          <c:dPt>
            <c:idx val="3"/>
            <c:bubble3D val="0"/>
            <c:explosion val="64"/>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7BF-4AD5-8B45-46D5385003EC}"/>
              </c:ext>
            </c:extLst>
          </c:dPt>
          <c:dLbls>
            <c:dLbl>
              <c:idx val="0"/>
              <c:layout>
                <c:manualLayout>
                  <c:x val="-0.13798569508692443"/>
                  <c:y val="-0.10421188113109205"/>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CB15B68A-D800-4AB9-A1F5-B7175D1676DD}" type="CATEGORYNAME">
                      <a:rPr lang="en-US"/>
                      <a:pPr>
                        <a:defRPr sz="1000"/>
                      </a:pPr>
                      <a:t>[NOMBRE DE CATEGORÍA]</a:t>
                    </a:fld>
                    <a:endParaRPr lang="en-US"/>
                  </a:p>
                  <a:p>
                    <a:pPr>
                      <a:defRPr sz="1000"/>
                    </a:pPr>
                    <a:fld id="{DF8A8C50-68BB-4FB2-9C52-2E6F7ACBBB90}" type="VALUE">
                      <a:rPr lang="en-US" baseline="0"/>
                      <a:pPr>
                        <a:defRPr sz="1000"/>
                      </a:pPr>
                      <a:t>[VALOR]</a:t>
                    </a:fld>
                    <a:endParaRPr lang="en-US" baseline="0"/>
                  </a:p>
                  <a:p>
                    <a:pPr>
                      <a:defRPr sz="1000"/>
                    </a:pPr>
                    <a:fld id="{12DE72ED-73FD-47BB-B097-F00C92353CF6}" type="PERCENTAGE">
                      <a:rPr lang="en-US" baseline="0"/>
                      <a:pPr>
                        <a:defRPr sz="1000"/>
                      </a:pPr>
                      <a:t>[PORCENTAJE]</a:t>
                    </a:fld>
                    <a:endParaRPr lang="es-CO"/>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1-87BF-4AD5-8B45-46D5385003EC}"/>
                </c:ext>
                <c:ext xmlns:c15="http://schemas.microsoft.com/office/drawing/2012/chart" uri="{CE6537A1-D6FC-4f65-9D91-7224C49458BB}">
                  <c15:layout>
                    <c:manualLayout>
                      <c:w val="0.19348007519827448"/>
                      <c:h val="0.29257192660664805"/>
                    </c:manualLayout>
                  </c15:layout>
                  <c15:dlblFieldTable/>
                  <c15:showDataLabelsRange val="0"/>
                </c:ext>
              </c:extLst>
            </c:dLbl>
            <c:dLbl>
              <c:idx val="1"/>
              <c:layout>
                <c:manualLayout>
                  <c:x val="5.6329836936152192E-2"/>
                  <c:y val="-1.6603794807015116E-2"/>
                </c:manualLayout>
              </c:layout>
              <c:tx>
                <c:rich>
                  <a:bodyPr/>
                  <a:lstStyle/>
                  <a:p>
                    <a:fld id="{B845ABE7-F48D-4F93-9D1C-20EEE8A42862}" type="CATEGORYNAME">
                      <a:rPr lang="en-US"/>
                      <a:pPr/>
                      <a:t>[NOMBRE DE CATEGORÍA]</a:t>
                    </a:fld>
                    <a:endParaRPr lang="en-US" baseline="0"/>
                  </a:p>
                  <a:p>
                    <a:fld id="{B648656A-365B-498E-88AC-19A82E30C33F}" type="VALUE">
                      <a:rPr lang="en-US" baseline="0"/>
                      <a:pPr/>
                      <a:t>[VALOR]</a:t>
                    </a:fld>
                    <a:endParaRPr lang="en-US" baseline="0"/>
                  </a:p>
                  <a:p>
                    <a:fld id="{DDD213D8-CFC2-48E1-8652-2E8E9D2D58A0}" type="PERCENTAGE">
                      <a:rPr lang="en-US" baseline="0"/>
                      <a:pPr/>
                      <a:t>[PORCENTAJE]</a:t>
                    </a:fld>
                    <a:endParaRPr lang="es-CO"/>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87BF-4AD5-8B45-46D5385003EC}"/>
                </c:ext>
                <c:ext xmlns:c15="http://schemas.microsoft.com/office/drawing/2012/chart" uri="{CE6537A1-D6FC-4f65-9D91-7224C49458BB}">
                  <c15:dlblFieldTable/>
                  <c15:showDataLabelsRange val="0"/>
                </c:ext>
              </c:extLst>
            </c:dLbl>
            <c:dLbl>
              <c:idx val="2"/>
              <c:layout>
                <c:manualLayout>
                  <c:x val="-2.8787725554654535E-3"/>
                  <c:y val="0.28360558048737461"/>
                </c:manualLayout>
              </c:layout>
              <c:tx>
                <c:rich>
                  <a:bodyPr/>
                  <a:lstStyle/>
                  <a:p>
                    <a:fld id="{7060B2D8-F65E-4A27-A024-6CE65B1E0B9D}" type="CATEGORYNAME">
                      <a:rPr lang="en-US"/>
                      <a:pPr/>
                      <a:t>[NOMBRE DE CATEGORÍA]</a:t>
                    </a:fld>
                    <a:endParaRPr lang="en-US" baseline="0"/>
                  </a:p>
                  <a:p>
                    <a:fld id="{E2AAD557-CB8F-41BA-9382-C3EA897E0637}" type="VALUE">
                      <a:rPr lang="en-US" baseline="0"/>
                      <a:pPr/>
                      <a:t>[VALOR]</a:t>
                    </a:fld>
                    <a:endParaRPr lang="en-US" baseline="0"/>
                  </a:p>
                  <a:p>
                    <a:fld id="{00FAD706-CB5D-4848-894F-A10DCA8B5FE4}" type="PERCENTAGE">
                      <a:rPr lang="en-US" baseline="0"/>
                      <a:pPr/>
                      <a:t>[PORCENTAJE]</a:t>
                    </a:fld>
                    <a:endParaRPr lang="es-CO"/>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5-87BF-4AD5-8B45-46D5385003EC}"/>
                </c:ext>
                <c:ext xmlns:c15="http://schemas.microsoft.com/office/drawing/2012/chart" uri="{CE6537A1-D6FC-4f65-9D91-7224C49458BB}">
                  <c15:dlblFieldTable/>
                  <c15:showDataLabelsRange val="0"/>
                </c:ext>
              </c:extLst>
            </c:dLbl>
            <c:dLbl>
              <c:idx val="3"/>
              <c:layout>
                <c:manualLayout>
                  <c:x val="-0.37275764168301589"/>
                  <c:y val="-7.8406111836925391E-2"/>
                </c:manualLayout>
              </c:layout>
              <c:tx>
                <c:rich>
                  <a:bodyPr/>
                  <a:lstStyle/>
                  <a:p>
                    <a:fld id="{91AB02E3-CCC4-425B-B906-E9366BE2F680}" type="CATEGORYNAME">
                      <a:rPr lang="en-US"/>
                      <a:pPr/>
                      <a:t>[NOMBRE DE CATEGORÍA]</a:t>
                    </a:fld>
                    <a:endParaRPr lang="en-US" baseline="0"/>
                  </a:p>
                  <a:p>
                    <a:fld id="{165B3127-7B04-46FD-B985-EE6004DD2E8C}" type="VALUE">
                      <a:rPr lang="en-US" baseline="0"/>
                      <a:pPr/>
                      <a:t>[VALOR]</a:t>
                    </a:fld>
                    <a:endParaRPr lang="en-US" baseline="0"/>
                  </a:p>
                  <a:p>
                    <a:fld id="{4CC90203-6BB1-455F-8176-1D6E8CDDF0DC}" type="PERCENTAGE">
                      <a:rPr lang="en-US" baseline="0"/>
                      <a:pPr/>
                      <a:t>[PORCENTAJE]</a:t>
                    </a:fld>
                    <a:endParaRPr lang="es-CO"/>
                  </a:p>
                </c:rich>
              </c:tx>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7-87BF-4AD5-8B45-46D5385003EC}"/>
                </c:ext>
                <c:ext xmlns:c15="http://schemas.microsoft.com/office/drawing/2012/chart" uri="{CE6537A1-D6FC-4f65-9D91-7224C49458BB}">
                  <c15:dlblFieldTable/>
                  <c15:showDataLabelsRange val="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EJEC'!$AA$19:$AA$22</c:f>
              <c:strCache>
                <c:ptCount val="4"/>
                <c:pt idx="0">
                  <c:v>GUENAA</c:v>
                </c:pt>
                <c:pt idx="1">
                  <c:v>GUENE</c:v>
                </c:pt>
                <c:pt idx="2">
                  <c:v>GUENTIC</c:v>
                </c:pt>
                <c:pt idx="3">
                  <c:v>APOYO</c:v>
                </c:pt>
              </c:strCache>
            </c:strRef>
          </c:cat>
          <c:val>
            <c:numRef>
              <c:f>'INF EJEC'!$AE$19:$AE$22</c:f>
              <c:numCache>
                <c:formatCode>#,##0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87BF-4AD5-8B45-46D5385003EC}"/>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A-87BF-4AD5-8B45-46D5385003EC}"/>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C-87BF-4AD5-8B45-46D5385003EC}"/>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87BF-4AD5-8B45-46D5385003EC}"/>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87BF-4AD5-8B45-46D5385003EC}"/>
              </c:ext>
            </c:extLst>
          </c:dPt>
          <c:cat>
            <c:strRef>
              <c:f>'INF EJEC'!$AA$19:$AA$22</c:f>
              <c:strCache>
                <c:ptCount val="4"/>
                <c:pt idx="0">
                  <c:v>GUENAA</c:v>
                </c:pt>
                <c:pt idx="1">
                  <c:v>GUENE</c:v>
                </c:pt>
                <c:pt idx="2">
                  <c:v>GUENTIC</c:v>
                </c:pt>
                <c:pt idx="3">
                  <c:v>APOYO</c:v>
                </c:pt>
              </c:strCache>
            </c:strRef>
          </c:cat>
          <c:val>
            <c:numRef>
              <c:f>'INF EJEC'!$AF$38:$AF$41</c:f>
              <c:numCache>
                <c:formatCode>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11-87BF-4AD5-8B45-46D5385003EC}"/>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Ahorro</a:t>
            </a:r>
            <a:r>
              <a:rPr lang="en-US" sz="1200" b="1" baseline="0"/>
              <a:t> Invitación Pública</a:t>
            </a:r>
            <a:endParaRPr lang="en-US" sz="1200" b="1"/>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EJEC'!$O$97:$O$107</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EJEC'!$P$97:$P$107</c:f>
              <c:numCache>
                <c:formatCode>0.00%</c:formatCode>
                <c:ptCount val="11"/>
                <c:pt idx="0">
                  <c:v>0</c:v>
                </c:pt>
                <c:pt idx="1">
                  <c:v>0</c:v>
                </c:pt>
                <c:pt idx="2">
                  <c:v>0</c:v>
                </c:pt>
                <c:pt idx="3">
                  <c:v>0</c:v>
                </c:pt>
                <c:pt idx="4">
                  <c:v>8.6289270665146564E-3</c:v>
                </c:pt>
                <c:pt idx="5">
                  <c:v>2.0222023442205934E-2</c:v>
                </c:pt>
                <c:pt idx="6">
                  <c:v>7.4199150729154055E-3</c:v>
                </c:pt>
                <c:pt idx="7">
                  <c:v>0</c:v>
                </c:pt>
                <c:pt idx="8">
                  <c:v>2.9723931597760993E-3</c:v>
                </c:pt>
                <c:pt idx="9">
                  <c:v>0</c:v>
                </c:pt>
                <c:pt idx="10">
                  <c:v>0</c:v>
                </c:pt>
              </c:numCache>
            </c:numRef>
          </c:val>
          <c:extLst xmlns:c16r2="http://schemas.microsoft.com/office/drawing/2015/06/chart">
            <c:ext xmlns:c16="http://schemas.microsoft.com/office/drawing/2014/chart" uri="{C3380CC4-5D6E-409C-BE32-E72D297353CC}">
              <c16:uniqueId val="{00000001-4A06-426B-85FB-D0FB52AF2D7C}"/>
            </c:ext>
          </c:extLst>
        </c:ser>
        <c:dLbls>
          <c:showLegendKey val="0"/>
          <c:showVal val="0"/>
          <c:showCatName val="0"/>
          <c:showSerName val="0"/>
          <c:showPercent val="0"/>
          <c:showBubbleSize val="0"/>
        </c:dLbls>
        <c:gapWidth val="150"/>
        <c:axId val="-1667526304"/>
        <c:axId val="-1667525760"/>
      </c:barChart>
      <c:lineChart>
        <c:grouping val="standard"/>
        <c:varyColors val="0"/>
        <c:ser>
          <c:idx val="1"/>
          <c:order val="1"/>
          <c:spPr>
            <a:ln w="28575" cap="rnd">
              <a:solidFill>
                <a:schemeClr val="accent2"/>
              </a:solidFill>
              <a:round/>
            </a:ln>
            <a:effectLst/>
          </c:spPr>
          <c:marker>
            <c:symbol val="none"/>
          </c:marker>
          <c:cat>
            <c:strRef>
              <c:f>'INF EJEC'!$O$97:$O$107</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EJEC'!$Q$97:$Q$107</c:f>
              <c:numCache>
                <c:formatCode>0.00%</c:formatCode>
                <c:ptCount val="11"/>
                <c:pt idx="0">
                  <c:v>0.01</c:v>
                </c:pt>
                <c:pt idx="1">
                  <c:v>0.01</c:v>
                </c:pt>
                <c:pt idx="2">
                  <c:v>0.01</c:v>
                </c:pt>
                <c:pt idx="3">
                  <c:v>0.01</c:v>
                </c:pt>
                <c:pt idx="4">
                  <c:v>0.01</c:v>
                </c:pt>
                <c:pt idx="5">
                  <c:v>0.01</c:v>
                </c:pt>
                <c:pt idx="6">
                  <c:v>0.01</c:v>
                </c:pt>
                <c:pt idx="7">
                  <c:v>0.01</c:v>
                </c:pt>
                <c:pt idx="8">
                  <c:v>0.01</c:v>
                </c:pt>
                <c:pt idx="9">
                  <c:v>0.01</c:v>
                </c:pt>
                <c:pt idx="10">
                  <c:v>0.01</c:v>
                </c:pt>
              </c:numCache>
            </c:numRef>
          </c:val>
          <c:smooth val="0"/>
          <c:extLst xmlns:c16r2="http://schemas.microsoft.com/office/drawing/2015/06/chart">
            <c:ext xmlns:c16="http://schemas.microsoft.com/office/drawing/2014/chart" uri="{C3380CC4-5D6E-409C-BE32-E72D297353CC}">
              <c16:uniqueId val="{00000002-4A06-426B-85FB-D0FB52AF2D7C}"/>
            </c:ext>
          </c:extLst>
        </c:ser>
        <c:dLbls>
          <c:showLegendKey val="0"/>
          <c:showVal val="0"/>
          <c:showCatName val="0"/>
          <c:showSerName val="0"/>
          <c:showPercent val="0"/>
          <c:showBubbleSize val="0"/>
        </c:dLbls>
        <c:marker val="1"/>
        <c:smooth val="0"/>
        <c:axId val="-1667526304"/>
        <c:axId val="-1667525760"/>
      </c:lineChart>
      <c:catAx>
        <c:axId val="-1667526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7525760"/>
        <c:crosses val="autoZero"/>
        <c:auto val="1"/>
        <c:lblAlgn val="ctr"/>
        <c:lblOffset val="100"/>
        <c:noMultiLvlLbl val="0"/>
      </c:catAx>
      <c:valAx>
        <c:axId val="-16675257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7526304"/>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268448463052179E-2"/>
          <c:y val="7.7598738407545734E-2"/>
          <c:w val="0.86563305794937906"/>
          <c:h val="0.86298767412604194"/>
        </c:manualLayout>
      </c:layout>
      <c:pie3DChart>
        <c:varyColors val="1"/>
        <c:ser>
          <c:idx val="0"/>
          <c:order val="0"/>
          <c:spPr>
            <a:solidFill>
              <a:schemeClr val="bg2">
                <a:lumMod val="75000"/>
              </a:schemeClr>
            </a:solidFill>
          </c:spPr>
          <c:explosion val="15"/>
          <c:dPt>
            <c:idx val="0"/>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FB93-436E-94B3-480E01851FE2}"/>
              </c:ext>
            </c:extLst>
          </c:dPt>
          <c:dPt>
            <c:idx val="1"/>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FB93-436E-94B3-480E01851FE2}"/>
              </c:ext>
            </c:extLst>
          </c:dPt>
          <c:dPt>
            <c:idx val="2"/>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FB93-436E-94B3-480E01851FE2}"/>
              </c:ext>
            </c:extLst>
          </c:dPt>
          <c:dPt>
            <c:idx val="3"/>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FB93-436E-94B3-480E01851FE2}"/>
              </c:ext>
            </c:extLst>
          </c:dPt>
          <c:dPt>
            <c:idx val="4"/>
            <c:bubble3D val="0"/>
            <c:spPr>
              <a:solidFill>
                <a:schemeClr val="bg2">
                  <a:lumMod val="75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F958-43C9-913E-4C9BE35825FB}"/>
              </c:ext>
            </c:extLst>
          </c:dPt>
          <c:dLbls>
            <c:dLbl>
              <c:idx val="0"/>
              <c:layout>
                <c:manualLayout>
                  <c:x val="0.14017227047567346"/>
                  <c:y val="-0.12237157707147185"/>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FB93-436E-94B3-480E01851FE2}"/>
                </c:ext>
                <c:ext xmlns:c15="http://schemas.microsoft.com/office/drawing/2012/chart" uri="{CE6537A1-D6FC-4f65-9D91-7224C49458BB}"/>
              </c:extLst>
            </c:dLbl>
            <c:dLbl>
              <c:idx val="1"/>
              <c:layout>
                <c:manualLayout>
                  <c:x val="1.8851360521137273E-2"/>
                  <c:y val="-0.10622868744880519"/>
                </c:manualLayout>
              </c:layout>
              <c:showLegendKey val="0"/>
              <c:showVal val="1"/>
              <c:showCatName val="1"/>
              <c:showSerName val="0"/>
              <c:showPercent val="1"/>
              <c:showBubbleSize val="0"/>
              <c:extLst xmlns:c16r2="http://schemas.microsoft.com/office/drawing/2015/06/chart">
                <c:ext xmlns:c16="http://schemas.microsoft.com/office/drawing/2014/chart" uri="{C3380CC4-5D6E-409C-BE32-E72D297353CC}">
                  <c16:uniqueId val="{00000003-FB93-436E-94B3-480E01851FE2}"/>
                </c:ext>
                <c:ext xmlns:c15="http://schemas.microsoft.com/office/drawing/2012/chart" uri="{CE6537A1-D6FC-4f65-9D91-7224C49458BB}"/>
              </c:extLst>
            </c:dLbl>
            <c:dLbl>
              <c:idx val="2"/>
              <c:layout>
                <c:manualLayout>
                  <c:x val="-5.3861030060394187E-3"/>
                  <c:y val="0.19178345312707989"/>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FB93-436E-94B3-480E01851FE2}"/>
                </c:ext>
                <c:ext xmlns:c15="http://schemas.microsoft.com/office/drawing/2012/chart" uri="{CE6537A1-D6FC-4f65-9D91-7224C49458BB}"/>
              </c:extLst>
            </c:dLbl>
            <c:dLbl>
              <c:idx val="3"/>
              <c:layout>
                <c:manualLayout>
                  <c:x val="-5.3760093641853933E-2"/>
                  <c:y val="7.65878597418609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7-FB93-436E-94B3-480E01851FE2}"/>
                </c:ext>
                <c:ext xmlns:c15="http://schemas.microsoft.com/office/drawing/2012/chart" uri="{CE6537A1-D6FC-4f65-9D91-7224C49458BB}"/>
              </c:extLst>
            </c:dLbl>
            <c:dLbl>
              <c:idx val="4"/>
              <c:layout>
                <c:manualLayout>
                  <c:x val="-0.11984969803894958"/>
                  <c:y val="-2.026307853672641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10-F958-43C9-913E-4C9BE35825F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EJEC'!$AD$38:$AD$42</c:f>
              <c:strCache>
                <c:ptCount val="5"/>
                <c:pt idx="0">
                  <c:v>Contratados</c:v>
                </c:pt>
                <c:pt idx="1">
                  <c:v>Suspendidos</c:v>
                </c:pt>
                <c:pt idx="2">
                  <c:v>En Trámite</c:v>
                </c:pt>
                <c:pt idx="3">
                  <c:v>Devueltos</c:v>
                </c:pt>
                <c:pt idx="4">
                  <c:v>Cerrados</c:v>
                </c:pt>
              </c:strCache>
            </c:strRef>
          </c:cat>
          <c:val>
            <c:numRef>
              <c:f>'INF EJEC'!$AE$38:$AE$42</c:f>
              <c:numCache>
                <c:formatCode>"$"\ #,##0.0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8-FB93-436E-94B3-480E01851FE2}"/>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A-FB93-436E-94B3-480E01851FE2}"/>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C-FB93-436E-94B3-480E01851FE2}"/>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FB93-436E-94B3-480E01851FE2}"/>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FB93-436E-94B3-480E01851FE2}"/>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3-6996-4588-A0A9-3E290D63ACF2}"/>
              </c:ext>
            </c:extLst>
          </c:dPt>
          <c:cat>
            <c:strRef>
              <c:f>'INF EJEC'!$AD$38:$AD$42</c:f>
              <c:strCache>
                <c:ptCount val="5"/>
                <c:pt idx="0">
                  <c:v>Contratados</c:v>
                </c:pt>
                <c:pt idx="1">
                  <c:v>Suspendidos</c:v>
                </c:pt>
                <c:pt idx="2">
                  <c:v>En Trámite</c:v>
                </c:pt>
                <c:pt idx="3">
                  <c:v>Devueltos</c:v>
                </c:pt>
                <c:pt idx="4">
                  <c:v>Cerrados</c:v>
                </c:pt>
              </c:strCache>
            </c:strRef>
          </c:cat>
          <c:val>
            <c:numRef>
              <c:f>'INF EJEC'!$AF$38:$AF$42</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11-FB93-436E-94B3-480E01851FE2}"/>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0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114462316709509E-3"/>
          <c:y val="4.1801069476168845E-3"/>
          <c:w val="0.96527589933611235"/>
          <c:h val="0.96561100157970148"/>
        </c:manualLayout>
      </c:layout>
      <c:pie3DChart>
        <c:varyColors val="1"/>
        <c:ser>
          <c:idx val="0"/>
          <c:order val="0"/>
          <c:dPt>
            <c:idx val="0"/>
            <c:bubble3D val="0"/>
            <c:explosion val="49"/>
            <c:spPr>
              <a:solidFill>
                <a:srgbClr val="FF00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9712-4122-93D4-06523EEFE160}"/>
              </c:ext>
            </c:extLst>
          </c:dPt>
          <c:dPt>
            <c:idx val="1"/>
            <c:bubble3D val="0"/>
            <c:explosion val="61"/>
            <c:spPr>
              <a:solidFill>
                <a:srgbClr val="00B0F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9712-4122-93D4-06523EEFE160}"/>
              </c:ext>
            </c:extLst>
          </c:dPt>
          <c:dPt>
            <c:idx val="2"/>
            <c:bubble3D val="0"/>
            <c:explosion val="99"/>
            <c:spPr>
              <a:solidFill>
                <a:srgbClr val="FFFF0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9712-4122-93D4-06523EEFE160}"/>
              </c:ext>
            </c:extLst>
          </c:dPt>
          <c:dPt>
            <c:idx val="3"/>
            <c:bubble3D val="0"/>
            <c:explosion val="91"/>
            <c:spPr>
              <a:solidFill>
                <a:srgbClr val="00B050"/>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EF13-47D2-8773-2C39D54806E1}"/>
              </c:ext>
            </c:extLst>
          </c:dPt>
          <c:dLbls>
            <c:dLbl>
              <c:idx val="0"/>
              <c:layout>
                <c:manualLayout>
                  <c:x val="0.10097580322299424"/>
                  <c:y val="-0.23488843210713542"/>
                </c:manualLayout>
              </c:layout>
              <c:tx>
                <c:rich>
                  <a:bodyPr/>
                  <a:lstStyle/>
                  <a:p>
                    <a:fld id="{79424941-DE94-46B9-8B54-30B48B52F8E9}" type="CATEGORYNAME">
                      <a:rPr lang="en-US" sz="1000">
                        <a:solidFill>
                          <a:sysClr val="windowText" lastClr="000000"/>
                        </a:solidFill>
                      </a:rPr>
                      <a:pPr/>
                      <a:t>[NOMBRE DE CATEGORÍA]</a:t>
                    </a:fld>
                    <a:r>
                      <a:rPr lang="en-US" sz="1000" baseline="0">
                        <a:solidFill>
                          <a:sysClr val="windowText" lastClr="000000"/>
                        </a:solidFill>
                      </a:rPr>
                      <a:t>
</a:t>
                    </a:r>
                    <a:fld id="{6B8AEEBF-1D54-4646-B17C-02F67B9DDB06}" type="VALUE">
                      <a:rPr lang="en-US" baseline="0">
                        <a:solidFill>
                          <a:sysClr val="windowText" lastClr="000000"/>
                        </a:solidFill>
                      </a:rPr>
                      <a:pPr/>
                      <a:t>[VALOR]</a:t>
                    </a:fld>
                    <a:r>
                      <a:rPr lang="en-US" baseline="0">
                        <a:solidFill>
                          <a:sysClr val="windowText" lastClr="000000"/>
                        </a:solidFill>
                      </a:rPr>
                      <a:t>
</a:t>
                    </a:r>
                    <a:fld id="{BE0944EE-F45A-448B-8DDE-61C5A75A34A9}" type="PERCENTAGE">
                      <a:rPr lang="en-US" baseline="0">
                        <a:solidFill>
                          <a:sysClr val="windowText" lastClr="000000"/>
                        </a:solidFill>
                      </a:rPr>
                      <a:pPr/>
                      <a:t>[PORCENTAJE]</a:t>
                    </a:fld>
                    <a:endParaRPr lang="en-US" baseline="0">
                      <a:solidFill>
                        <a:sysClr val="windowText" lastClr="000000"/>
                      </a:solidFill>
                    </a:endParaRP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1-9712-4122-93D4-06523EEFE160}"/>
                </c:ext>
                <c:ext xmlns:c15="http://schemas.microsoft.com/office/drawing/2012/chart" uri="{CE6537A1-D6FC-4f65-9D91-7224C49458BB}">
                  <c15:dlblFieldTable/>
                  <c15:showDataLabelsRange val="0"/>
                </c:ext>
              </c:extLst>
            </c:dLbl>
            <c:dLbl>
              <c:idx val="1"/>
              <c:layout>
                <c:manualLayout>
                  <c:x val="-3.7650551695495513E-2"/>
                  <c:y val="-0.10162874656464761"/>
                </c:manualLayout>
              </c:layout>
              <c:tx>
                <c:rich>
                  <a:bodyPr/>
                  <a:lstStyle/>
                  <a:p>
                    <a:fld id="{18C1136D-ADFF-4AE0-980F-BDD3BDD2F089}" type="CATEGORYNAME">
                      <a:rPr lang="en-US" sz="1000">
                        <a:solidFill>
                          <a:sysClr val="windowText" lastClr="000000"/>
                        </a:solidFill>
                      </a:rPr>
                      <a:pPr/>
                      <a:t>[NOMBRE DE CATEGORÍA]</a:t>
                    </a:fld>
                    <a:r>
                      <a:rPr lang="en-US" sz="1000" baseline="0">
                        <a:solidFill>
                          <a:sysClr val="windowText" lastClr="000000"/>
                        </a:solidFill>
                      </a:rPr>
                      <a:t>
</a:t>
                    </a:r>
                    <a:fld id="{11F4A4BE-E764-4922-8CE6-13FE101C7A59}" type="VALUE">
                      <a:rPr lang="en-US" baseline="0">
                        <a:solidFill>
                          <a:sysClr val="windowText" lastClr="000000"/>
                        </a:solidFill>
                      </a:rPr>
                      <a:pPr/>
                      <a:t>[VALOR]</a:t>
                    </a:fld>
                    <a:r>
                      <a:rPr lang="en-US" baseline="0">
                        <a:solidFill>
                          <a:sysClr val="windowText" lastClr="000000"/>
                        </a:solidFill>
                      </a:rPr>
                      <a:t>
</a:t>
                    </a:r>
                    <a:fld id="{5B45EC25-4AD5-49F2-8FDC-A8A30E56BA54}" type="PERCENTAGE">
                      <a:rPr lang="en-US" baseline="0">
                        <a:solidFill>
                          <a:sysClr val="windowText" lastClr="000000"/>
                        </a:solidFill>
                      </a:rPr>
                      <a:pPr/>
                      <a:t>[PORCENTAJE]</a:t>
                    </a:fld>
                    <a:endParaRPr lang="en-US" baseline="0">
                      <a:solidFill>
                        <a:sysClr val="windowText" lastClr="000000"/>
                      </a:solidFill>
                    </a:endParaRP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3-9712-4122-93D4-06523EEFE160}"/>
                </c:ext>
                <c:ext xmlns:c15="http://schemas.microsoft.com/office/drawing/2012/chart" uri="{CE6537A1-D6FC-4f65-9D91-7224C49458BB}">
                  <c15:dlblFieldTable/>
                  <c15:showDataLabelsRange val="0"/>
                </c:ext>
              </c:extLst>
            </c:dLbl>
            <c:dLbl>
              <c:idx val="2"/>
              <c:layout>
                <c:manualLayout>
                  <c:x val="4.2732314501977425E-2"/>
                  <c:y val="-0.1256123961106341"/>
                </c:manualLayout>
              </c:layout>
              <c:tx>
                <c:rich>
                  <a:bodyPr/>
                  <a:lstStyle/>
                  <a:p>
                    <a:fld id="{FD86191E-9961-4DB8-A4E9-7BCBD3D169AF}" type="CATEGORYNAME">
                      <a:rPr lang="en-US" sz="1000">
                        <a:solidFill>
                          <a:sysClr val="windowText" lastClr="000000"/>
                        </a:solidFill>
                      </a:rPr>
                      <a:pPr/>
                      <a:t>[NOMBRE DE CATEGORÍA]</a:t>
                    </a:fld>
                    <a:r>
                      <a:rPr lang="en-US" sz="1000" baseline="0">
                        <a:solidFill>
                          <a:sysClr val="windowText" lastClr="000000"/>
                        </a:solidFill>
                      </a:rPr>
                      <a:t>
</a:t>
                    </a:r>
                    <a:fld id="{E66A038A-746D-47F8-AD89-B69EC8F2086E}" type="VALUE">
                      <a:rPr lang="en-US" baseline="0">
                        <a:solidFill>
                          <a:sysClr val="windowText" lastClr="000000"/>
                        </a:solidFill>
                      </a:rPr>
                      <a:pPr/>
                      <a:t>[VALOR]</a:t>
                    </a:fld>
                    <a:r>
                      <a:rPr lang="en-US" baseline="0">
                        <a:solidFill>
                          <a:sysClr val="windowText" lastClr="000000"/>
                        </a:solidFill>
                      </a:rPr>
                      <a:t>
</a:t>
                    </a:r>
                    <a:fld id="{2E0380DF-768B-449F-8F9F-F255628B8563}" type="PERCENTAGE">
                      <a:rPr lang="en-US" baseline="0">
                        <a:solidFill>
                          <a:sysClr val="windowText" lastClr="000000"/>
                        </a:solidFill>
                      </a:rPr>
                      <a:pPr/>
                      <a:t>[PORCENTAJE]</a:t>
                    </a:fld>
                    <a:endParaRPr lang="en-US" baseline="0">
                      <a:solidFill>
                        <a:sysClr val="windowText" lastClr="000000"/>
                      </a:solidFill>
                    </a:endParaRPr>
                  </a:p>
                </c:rich>
              </c:tx>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5-9712-4122-93D4-06523EEFE160}"/>
                </c:ext>
                <c:ext xmlns:c15="http://schemas.microsoft.com/office/drawing/2012/chart" uri="{CE6537A1-D6FC-4f65-9D91-7224C49458BB}">
                  <c15:dlblFieldTable/>
                  <c15:showDataLabelsRange val="0"/>
                </c:ext>
              </c:extLst>
            </c:dLbl>
            <c:dLbl>
              <c:idx val="3"/>
              <c:layout>
                <c:manualLayout>
                  <c:x val="-8.3826870694848246E-2"/>
                  <c:y val="-9.8992186127309437E-2"/>
                </c:manualLayout>
              </c:layout>
              <c:showLegendKey val="0"/>
              <c:showVal val="1"/>
              <c:showCatName val="1"/>
              <c:showSerName val="0"/>
              <c:showPercent val="1"/>
              <c:showBubbleSize val="0"/>
              <c:separator>
</c:separator>
              <c:extLst xmlns:c16r2="http://schemas.microsoft.com/office/drawing/2015/06/chart">
                <c:ext xmlns:c16="http://schemas.microsoft.com/office/drawing/2014/chart" uri="{C3380CC4-5D6E-409C-BE32-E72D297353CC}">
                  <c16:uniqueId val="{0000000E-EF13-47D2-8773-2C39D54806E1}"/>
                </c:ext>
                <c:ext xmlns:c15="http://schemas.microsoft.com/office/drawing/2012/chart" uri="{CE6537A1-D6FC-4f65-9D91-7224C49458BB}">
                  <c15:layout>
                    <c:manualLayout>
                      <c:w val="0.12728743446439097"/>
                      <c:h val="0.19511947974101226"/>
                    </c:manualLayout>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s-C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'INF EJEC'!$AA$19:$AA$22</c:f>
              <c:strCache>
                <c:ptCount val="4"/>
                <c:pt idx="0">
                  <c:v>GUENAA</c:v>
                </c:pt>
                <c:pt idx="1">
                  <c:v>GUENE</c:v>
                </c:pt>
                <c:pt idx="2">
                  <c:v>GUENTIC</c:v>
                </c:pt>
                <c:pt idx="3">
                  <c:v>APOYO</c:v>
                </c:pt>
              </c:strCache>
            </c:strRef>
          </c:cat>
          <c:val>
            <c:numRef>
              <c:f>'INF EJEC'!$AB$19:$AB$22</c:f>
              <c:numCache>
                <c:formatCode>"$"\ #,##0.0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8-9712-4122-93D4-06523EEFE160}"/>
            </c:ext>
          </c:extLst>
        </c:ser>
        <c:ser>
          <c:idx val="1"/>
          <c:order val="1"/>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A-9712-4122-93D4-06523EEFE160}"/>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C-9712-4122-93D4-06523EEFE160}"/>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E-9712-4122-93D4-06523EEFE160}"/>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0-9712-4122-93D4-06523EEFE160}"/>
              </c:ext>
            </c:extLst>
          </c:dPt>
          <c:cat>
            <c:strRef>
              <c:f>'INF EJEC'!$AA$19:$AA$22</c:f>
              <c:strCache>
                <c:ptCount val="4"/>
                <c:pt idx="0">
                  <c:v>GUENAA</c:v>
                </c:pt>
                <c:pt idx="1">
                  <c:v>GUENE</c:v>
                </c:pt>
                <c:pt idx="2">
                  <c:v>GUENTIC</c:v>
                </c:pt>
                <c:pt idx="3">
                  <c:v>APOYO</c:v>
                </c:pt>
              </c:strCache>
            </c:strRef>
          </c:cat>
          <c:val>
            <c:numRef>
              <c:f>'INF EJEC'!$AF$38:$AF$41</c:f>
              <c:numCache>
                <c:formatCode>0.0%</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11-9712-4122-93D4-06523EEFE160}"/>
            </c:ext>
          </c:extLst>
        </c:ser>
        <c:dLbls>
          <c:showLegendKey val="0"/>
          <c:showVal val="0"/>
          <c:showCatName val="0"/>
          <c:showSerName val="0"/>
          <c:showPercent val="0"/>
          <c:showBubbleSize val="0"/>
          <c:showLeaderLines val="1"/>
        </c:dLbls>
      </c:pie3DChart>
      <c:spPr>
        <a:noFill/>
        <a:ln w="25400">
          <a:noFill/>
        </a:ln>
        <a:effectLst>
          <a:softEdge rad="127000"/>
        </a:effectLst>
      </c:spPr>
    </c:plotArea>
    <c:plotVisOnly val="1"/>
    <c:dispBlanksAs val="gap"/>
    <c:showDLblsOverMax val="0"/>
  </c:chart>
  <c:spPr>
    <a:solidFill>
      <a:schemeClr val="bg1"/>
    </a:solidFill>
    <a:ln w="28575" cap="flat" cmpd="sng" algn="ctr">
      <a:solidFill>
        <a:srgbClr val="FF0000"/>
      </a:solidFill>
      <a:round/>
    </a:ln>
    <a:effectLst/>
  </c:spPr>
  <c:txPr>
    <a:bodyPr/>
    <a:lstStyle/>
    <a:p>
      <a:pPr>
        <a:defRPr/>
      </a:pPr>
      <a:endParaRPr lang="es-C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a:solidFill>
                  <a:srgbClr val="FF0000"/>
                </a:solidFill>
              </a:rPr>
              <a:t>Requerimientos Radicados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EJEC'!$AG$2:$AG$13</c:f>
              <c:strCache>
                <c:ptCount val="12"/>
                <c:pt idx="0">
                  <c:v>2021</c:v>
                </c:pt>
                <c:pt idx="1">
                  <c:v>Jan</c:v>
                </c:pt>
                <c:pt idx="2">
                  <c:v>Feb</c:v>
                </c:pt>
                <c:pt idx="3">
                  <c:v>Mar</c:v>
                </c:pt>
                <c:pt idx="4">
                  <c:v>Apr</c:v>
                </c:pt>
                <c:pt idx="5">
                  <c:v>May</c:v>
                </c:pt>
                <c:pt idx="6">
                  <c:v>Jun</c:v>
                </c:pt>
                <c:pt idx="7">
                  <c:v>Jul</c:v>
                </c:pt>
                <c:pt idx="8">
                  <c:v>Aug</c:v>
                </c:pt>
                <c:pt idx="9">
                  <c:v>Sep</c:v>
                </c:pt>
                <c:pt idx="10">
                  <c:v>Oct</c:v>
                </c:pt>
                <c:pt idx="11">
                  <c:v>Nov</c:v>
                </c:pt>
              </c:strCache>
            </c:strRef>
          </c:cat>
          <c:val>
            <c:numRef>
              <c:f>'INF EJEC'!$AH$2:$AH$13</c:f>
              <c:numCache>
                <c:formatCode>#,##0</c:formatCode>
                <c:ptCount val="12"/>
                <c:pt idx="0">
                  <c:v>15</c:v>
                </c:pt>
                <c:pt idx="1">
                  <c:v>0</c:v>
                </c:pt>
                <c:pt idx="2">
                  <c:v>25</c:v>
                </c:pt>
                <c:pt idx="3">
                  <c:v>61</c:v>
                </c:pt>
                <c:pt idx="4">
                  <c:v>0</c:v>
                </c:pt>
                <c:pt idx="5">
                  <c:v>34</c:v>
                </c:pt>
                <c:pt idx="6">
                  <c:v>54</c:v>
                </c:pt>
                <c:pt idx="7">
                  <c:v>90</c:v>
                </c:pt>
                <c:pt idx="8">
                  <c:v>0</c:v>
                </c:pt>
                <c:pt idx="9">
                  <c:v>41</c:v>
                </c:pt>
                <c:pt idx="10">
                  <c:v>4</c:v>
                </c:pt>
                <c:pt idx="11">
                  <c:v>28</c:v>
                </c:pt>
              </c:numCache>
            </c:numRef>
          </c:val>
          <c:extLst xmlns:c16r2="http://schemas.microsoft.com/office/drawing/2015/06/chart">
            <c:ext xmlns:c16="http://schemas.microsoft.com/office/drawing/2014/chart" uri="{C3380CC4-5D6E-409C-BE32-E72D297353CC}">
              <c16:uniqueId val="{00000000-441D-494D-9837-D1657DEE4802}"/>
            </c:ext>
          </c:extLst>
        </c:ser>
        <c:dLbls>
          <c:showLegendKey val="0"/>
          <c:showVal val="0"/>
          <c:showCatName val="0"/>
          <c:showSerName val="0"/>
          <c:showPercent val="0"/>
          <c:showBubbleSize val="0"/>
        </c:dLbls>
        <c:gapWidth val="150"/>
        <c:shape val="box"/>
        <c:axId val="-1424276352"/>
        <c:axId val="-1424279072"/>
        <c:axId val="0"/>
      </c:bar3DChart>
      <c:catAx>
        <c:axId val="-14242763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4279072"/>
        <c:crosses val="autoZero"/>
        <c:auto val="1"/>
        <c:lblAlgn val="ctr"/>
        <c:lblOffset val="100"/>
        <c:noMultiLvlLbl val="0"/>
      </c:catAx>
      <c:valAx>
        <c:axId val="-14242790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4276352"/>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CO" sz="1100" b="1">
                <a:solidFill>
                  <a:srgbClr val="00B050"/>
                </a:solidFill>
              </a:rPr>
              <a:t>Valor </a:t>
            </a:r>
            <a:r>
              <a:rPr lang="es-CO" sz="1100" b="1" i="0" u="none" strike="noStrike" kern="1200" spc="0" baseline="0">
                <a:solidFill>
                  <a:srgbClr val="00B050"/>
                </a:solidFill>
                <a:latin typeface="+mn-lt"/>
                <a:ea typeface="+mn-ea"/>
                <a:cs typeface="+mn-cs"/>
              </a:rPr>
              <a:t>Requerimientos Radicados 2022 - </a:t>
            </a:r>
            <a:r>
              <a:rPr lang="es-CO" sz="700" b="1" i="0" u="none" strike="noStrike" kern="1200" spc="0" baseline="0">
                <a:solidFill>
                  <a:srgbClr val="00B050"/>
                </a:solidFill>
                <a:latin typeface="+mn-lt"/>
                <a:ea typeface="+mn-ea"/>
                <a:cs typeface="+mn-cs"/>
              </a:rPr>
              <a:t>(Millones de $)</a:t>
            </a:r>
          </a:p>
        </c:rich>
      </c:tx>
      <c:layout>
        <c:manualLayout>
          <c:xMode val="edge"/>
          <c:yMode val="edge"/>
          <c:x val="9.0678629060408952E-2"/>
          <c:y val="1.9512205114758398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702496967414683"/>
          <c:y val="0.27398502470822905"/>
          <c:w val="0.7677903576162175"/>
          <c:h val="0.56664519129130853"/>
        </c:manualLayout>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EJEC'!$AG$2:$AG$13</c:f>
              <c:strCache>
                <c:ptCount val="12"/>
                <c:pt idx="0">
                  <c:v>2021</c:v>
                </c:pt>
                <c:pt idx="1">
                  <c:v>Jan</c:v>
                </c:pt>
                <c:pt idx="2">
                  <c:v>Feb</c:v>
                </c:pt>
                <c:pt idx="3">
                  <c:v>Mar</c:v>
                </c:pt>
                <c:pt idx="4">
                  <c:v>Apr</c:v>
                </c:pt>
                <c:pt idx="5">
                  <c:v>May</c:v>
                </c:pt>
                <c:pt idx="6">
                  <c:v>Jun</c:v>
                </c:pt>
                <c:pt idx="7">
                  <c:v>Jul</c:v>
                </c:pt>
                <c:pt idx="8">
                  <c:v>Aug</c:v>
                </c:pt>
                <c:pt idx="9">
                  <c:v>Sep</c:v>
                </c:pt>
                <c:pt idx="10">
                  <c:v>Oct</c:v>
                </c:pt>
                <c:pt idx="11">
                  <c:v>Nov</c:v>
                </c:pt>
              </c:strCache>
            </c:strRef>
          </c:cat>
          <c:val>
            <c:numRef>
              <c:f>'INF EJEC'!$AI$2:$AI$13</c:f>
              <c:numCache>
                <c:formatCode>"$"\ #,##0.0</c:formatCode>
                <c:ptCount val="12"/>
                <c:pt idx="0">
                  <c:v>435012.21651199996</c:v>
                </c:pt>
                <c:pt idx="1">
                  <c:v>0</c:v>
                </c:pt>
                <c:pt idx="2">
                  <c:v>11472.992141999999</c:v>
                </c:pt>
                <c:pt idx="3">
                  <c:v>41428.170500126318</c:v>
                </c:pt>
                <c:pt idx="4">
                  <c:v>0</c:v>
                </c:pt>
                <c:pt idx="5">
                  <c:v>54904.752830999998</c:v>
                </c:pt>
                <c:pt idx="6">
                  <c:v>17013.960250000004</c:v>
                </c:pt>
                <c:pt idx="7">
                  <c:v>80332.695019999999</c:v>
                </c:pt>
                <c:pt idx="8">
                  <c:v>0</c:v>
                </c:pt>
                <c:pt idx="9">
                  <c:v>53778.846770999997</c:v>
                </c:pt>
                <c:pt idx="10">
                  <c:v>1365.7419399999999</c:v>
                </c:pt>
                <c:pt idx="11">
                  <c:v>28107.796956999999</c:v>
                </c:pt>
              </c:numCache>
            </c:numRef>
          </c:val>
          <c:extLst xmlns:c16r2="http://schemas.microsoft.com/office/drawing/2015/06/chart">
            <c:ext xmlns:c16="http://schemas.microsoft.com/office/drawing/2014/chart" uri="{C3380CC4-5D6E-409C-BE32-E72D297353CC}">
              <c16:uniqueId val="{00000000-08F7-4E15-BABF-A7E4712DE57F}"/>
            </c:ext>
          </c:extLst>
        </c:ser>
        <c:dLbls>
          <c:showLegendKey val="0"/>
          <c:showVal val="0"/>
          <c:showCatName val="0"/>
          <c:showSerName val="0"/>
          <c:showPercent val="0"/>
          <c:showBubbleSize val="0"/>
        </c:dLbls>
        <c:gapWidth val="150"/>
        <c:shape val="box"/>
        <c:axId val="-1424273632"/>
        <c:axId val="-1424280704"/>
        <c:axId val="0"/>
      </c:bar3DChart>
      <c:catAx>
        <c:axId val="-14242736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424280704"/>
        <c:crosses val="autoZero"/>
        <c:auto val="1"/>
        <c:lblAlgn val="ctr"/>
        <c:lblOffset val="100"/>
        <c:noMultiLvlLbl val="0"/>
      </c:catAx>
      <c:valAx>
        <c:axId val="-1424280704"/>
        <c:scaling>
          <c:orientation val="minMax"/>
          <c:max val="1000000"/>
        </c:scaling>
        <c:delete val="0"/>
        <c:axPos val="l"/>
        <c:majorGridlines>
          <c:spPr>
            <a:ln w="9525" cap="flat" cmpd="sng" algn="ctr">
              <a:solidFill>
                <a:schemeClr val="tx1">
                  <a:lumMod val="15000"/>
                  <a:lumOff val="85000"/>
                </a:schemeClr>
              </a:solidFill>
              <a:round/>
            </a:ln>
            <a:effectLst/>
          </c:spPr>
        </c:majorGridlines>
        <c:numFmt formatCode="&quot;$&quot;\ #,##0" sourceLinked="0"/>
        <c:majorTickMark val="none"/>
        <c:minorTickMark val="none"/>
        <c:tickLblPos val="nextTo"/>
        <c:spPr>
          <a:noFill/>
          <a:ln>
            <a:noFill/>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424273632"/>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r>
              <a:rPr lang="es-CO" sz="1200" b="1">
                <a:solidFill>
                  <a:srgbClr val="FF0000"/>
                </a:solidFill>
              </a:rPr>
              <a:t>Número de Procesos Contratados</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6116842676272199E-2"/>
          <c:y val="0.21423553923882221"/>
          <c:w val="0.85977287467059371"/>
          <c:h val="0.6980346568131014"/>
        </c:manualLayout>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EJEC'!$AI$38:$AI$48</c:f>
              <c:strCache>
                <c:ptCount val="11"/>
                <c:pt idx="0">
                  <c:v>Jan</c:v>
                </c:pt>
                <c:pt idx="1">
                  <c:v>Feb</c:v>
                </c:pt>
                <c:pt idx="2">
                  <c:v>Mar</c:v>
                </c:pt>
                <c:pt idx="3">
                  <c:v>Apr</c:v>
                </c:pt>
                <c:pt idx="4">
                  <c:v>May</c:v>
                </c:pt>
                <c:pt idx="5">
                  <c:v>Jun</c:v>
                </c:pt>
                <c:pt idx="6">
                  <c:v>Jul</c:v>
                </c:pt>
                <c:pt idx="7">
                  <c:v>Aug</c:v>
                </c:pt>
                <c:pt idx="8">
                  <c:v>Sep</c:v>
                </c:pt>
                <c:pt idx="9">
                  <c:v>Oct</c:v>
                </c:pt>
                <c:pt idx="10">
                  <c:v>Nov</c:v>
                </c:pt>
              </c:strCache>
            </c:strRef>
          </c:cat>
          <c:val>
            <c:numRef>
              <c:f>'INF EJEC'!$AJ$38:$AJ$48</c:f>
              <c:numCache>
                <c:formatCode>#,##0</c:formatCode>
                <c:ptCount val="11"/>
                <c:pt idx="0">
                  <c:v>0</c:v>
                </c:pt>
                <c:pt idx="1">
                  <c:v>11</c:v>
                </c:pt>
                <c:pt idx="2">
                  <c:v>3</c:v>
                </c:pt>
                <c:pt idx="3">
                  <c:v>0</c:v>
                </c:pt>
                <c:pt idx="4">
                  <c:v>18</c:v>
                </c:pt>
                <c:pt idx="5">
                  <c:v>15</c:v>
                </c:pt>
                <c:pt idx="6">
                  <c:v>35</c:v>
                </c:pt>
                <c:pt idx="7">
                  <c:v>0</c:v>
                </c:pt>
                <c:pt idx="8">
                  <c:v>90</c:v>
                </c:pt>
                <c:pt idx="9">
                  <c:v>15</c:v>
                </c:pt>
                <c:pt idx="10">
                  <c:v>8</c:v>
                </c:pt>
              </c:numCache>
            </c:numRef>
          </c:val>
          <c:extLst xmlns:c16r2="http://schemas.microsoft.com/office/drawing/2015/06/chart">
            <c:ext xmlns:c16="http://schemas.microsoft.com/office/drawing/2014/chart" uri="{C3380CC4-5D6E-409C-BE32-E72D297353CC}">
              <c16:uniqueId val="{00000000-F1C4-4300-925A-89F4B69ABAB8}"/>
            </c:ext>
          </c:extLst>
        </c:ser>
        <c:dLbls>
          <c:showLegendKey val="0"/>
          <c:showVal val="0"/>
          <c:showCatName val="0"/>
          <c:showSerName val="0"/>
          <c:showPercent val="0"/>
          <c:showBubbleSize val="0"/>
        </c:dLbls>
        <c:gapWidth val="150"/>
        <c:shape val="box"/>
        <c:axId val="-1424275808"/>
        <c:axId val="-1424275264"/>
        <c:axId val="0"/>
      </c:bar3DChart>
      <c:catAx>
        <c:axId val="-1424275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424275264"/>
        <c:crosses val="autoZero"/>
        <c:auto val="1"/>
        <c:lblAlgn val="ctr"/>
        <c:lblOffset val="100"/>
        <c:noMultiLvlLbl val="0"/>
      </c:catAx>
      <c:valAx>
        <c:axId val="-1424275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424275808"/>
        <c:crosses val="autoZero"/>
        <c:crossBetween val="between"/>
      </c:valAx>
      <c:spPr>
        <a:noFill/>
        <a:ln>
          <a:noFill/>
        </a:ln>
        <a:effectLst/>
      </c:spPr>
    </c:plotArea>
    <c:plotVisOnly val="1"/>
    <c:dispBlanksAs val="gap"/>
    <c:showDLblsOverMax val="0"/>
  </c:chart>
  <c:spPr>
    <a:solidFill>
      <a:schemeClr val="lt1"/>
    </a:solidFill>
    <a:ln w="1905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r>
              <a:rPr lang="en-US" sz="1200" b="1">
                <a:solidFill>
                  <a:srgbClr val="00B050"/>
                </a:solidFill>
              </a:rPr>
              <a:t>Valor</a:t>
            </a:r>
            <a:r>
              <a:rPr lang="en-US" sz="1200" b="1" baseline="0">
                <a:solidFill>
                  <a:srgbClr val="00B050"/>
                </a:solidFill>
              </a:rPr>
              <a:t> Procesos Contratados </a:t>
            </a:r>
            <a:r>
              <a:rPr lang="en-US" sz="900" b="1" baseline="0">
                <a:solidFill>
                  <a:srgbClr val="00B050"/>
                </a:solidFill>
              </a:rPr>
              <a:t>(Millones de $)</a:t>
            </a:r>
            <a:r>
              <a:rPr lang="en-US" sz="1050" b="1">
                <a:solidFill>
                  <a:srgbClr val="00B050"/>
                </a:solidFill>
              </a:rPr>
              <a:t> </a:t>
            </a:r>
            <a:endParaRPr lang="en-US" sz="1200" b="1">
              <a:solidFill>
                <a:srgbClr val="00B050"/>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dk1"/>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1327894363701896"/>
          <c:y val="0.22698469089703702"/>
          <c:w val="0.74739627867077629"/>
          <c:h val="0.68579102977835316"/>
        </c:manualLayout>
      </c:layout>
      <c:bar3DChart>
        <c:barDir val="col"/>
        <c:grouping val="clustered"/>
        <c:varyColors val="0"/>
        <c:ser>
          <c:idx val="0"/>
          <c:order val="0"/>
          <c:spPr>
            <a:solidFill>
              <a:schemeClr val="bg2">
                <a:lumMod val="75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EJEC'!$AI$38:$AI$48</c:f>
              <c:strCache>
                <c:ptCount val="11"/>
                <c:pt idx="0">
                  <c:v>Jan</c:v>
                </c:pt>
                <c:pt idx="1">
                  <c:v>Feb</c:v>
                </c:pt>
                <c:pt idx="2">
                  <c:v>Mar</c:v>
                </c:pt>
                <c:pt idx="3">
                  <c:v>Apr</c:v>
                </c:pt>
                <c:pt idx="4">
                  <c:v>May</c:v>
                </c:pt>
                <c:pt idx="5">
                  <c:v>Jun</c:v>
                </c:pt>
                <c:pt idx="6">
                  <c:v>Jul</c:v>
                </c:pt>
                <c:pt idx="7">
                  <c:v>Aug</c:v>
                </c:pt>
                <c:pt idx="8">
                  <c:v>Sep</c:v>
                </c:pt>
                <c:pt idx="9">
                  <c:v>Oct</c:v>
                </c:pt>
                <c:pt idx="10">
                  <c:v>Nov</c:v>
                </c:pt>
              </c:strCache>
            </c:strRef>
          </c:cat>
          <c:val>
            <c:numRef>
              <c:f>'INF EJEC'!$AK$38:$AK$48</c:f>
              <c:numCache>
                <c:formatCode>"$"\ #,##0.0</c:formatCode>
                <c:ptCount val="11"/>
                <c:pt idx="0">
                  <c:v>0</c:v>
                </c:pt>
                <c:pt idx="1">
                  <c:v>3824.988891</c:v>
                </c:pt>
                <c:pt idx="2">
                  <c:v>3225.1510363999996</c:v>
                </c:pt>
                <c:pt idx="3">
                  <c:v>0</c:v>
                </c:pt>
                <c:pt idx="4">
                  <c:v>17271.274372</c:v>
                </c:pt>
                <c:pt idx="5">
                  <c:v>10956.543346</c:v>
                </c:pt>
                <c:pt idx="6">
                  <c:v>25499.952282999999</c:v>
                </c:pt>
                <c:pt idx="7">
                  <c:v>0</c:v>
                </c:pt>
                <c:pt idx="8">
                  <c:v>35338.877076999997</c:v>
                </c:pt>
                <c:pt idx="9">
                  <c:v>2780.2662559999999</c:v>
                </c:pt>
                <c:pt idx="10">
                  <c:v>4291.2697280000002</c:v>
                </c:pt>
              </c:numCache>
            </c:numRef>
          </c:val>
          <c:extLst xmlns:c16r2="http://schemas.microsoft.com/office/drawing/2015/06/chart">
            <c:ext xmlns:c16="http://schemas.microsoft.com/office/drawing/2014/chart" uri="{C3380CC4-5D6E-409C-BE32-E72D297353CC}">
              <c16:uniqueId val="{00000000-6CD1-4644-AAB6-139C7CCCA78E}"/>
            </c:ext>
          </c:extLst>
        </c:ser>
        <c:dLbls>
          <c:showLegendKey val="0"/>
          <c:showVal val="0"/>
          <c:showCatName val="0"/>
          <c:showSerName val="0"/>
          <c:showPercent val="0"/>
          <c:showBubbleSize val="0"/>
        </c:dLbls>
        <c:gapWidth val="150"/>
        <c:shape val="box"/>
        <c:axId val="-1424276896"/>
        <c:axId val="-1579055328"/>
        <c:axId val="0"/>
      </c:bar3DChart>
      <c:catAx>
        <c:axId val="-1424276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dk1"/>
                </a:solidFill>
                <a:latin typeface="+mn-lt"/>
                <a:ea typeface="+mn-ea"/>
                <a:cs typeface="+mn-cs"/>
              </a:defRPr>
            </a:pPr>
            <a:endParaRPr lang="es-CO"/>
          </a:p>
        </c:txPr>
        <c:crossAx val="-1579055328"/>
        <c:crosses val="autoZero"/>
        <c:auto val="1"/>
        <c:lblAlgn val="ctr"/>
        <c:lblOffset val="100"/>
        <c:noMultiLvlLbl val="0"/>
      </c:catAx>
      <c:valAx>
        <c:axId val="-15790553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mn-lt"/>
                <a:ea typeface="+mn-ea"/>
                <a:cs typeface="+mn-cs"/>
              </a:defRPr>
            </a:pPr>
            <a:endParaRPr lang="es-CO"/>
          </a:p>
        </c:txPr>
        <c:crossAx val="-1424276896"/>
        <c:crosses val="autoZero"/>
        <c:crossBetween val="between"/>
      </c:valAx>
      <c:spPr>
        <a:noFill/>
        <a:ln>
          <a:noFill/>
        </a:ln>
        <a:effectLst/>
      </c:spPr>
    </c:plotArea>
    <c:plotVisOnly val="1"/>
    <c:dispBlanksAs val="gap"/>
    <c:showDLblsOverMax val="0"/>
  </c:chart>
  <c:spPr>
    <a:solidFill>
      <a:schemeClr val="lt1"/>
    </a:solidFill>
    <a:ln w="19050" cap="flat" cmpd="sng" algn="ctr">
      <a:solidFill>
        <a:schemeClr val="dk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a:solidFill>
                  <a:srgbClr val="FF0000"/>
                </a:solidFill>
                <a:latin typeface="+mn-lt"/>
              </a:rPr>
              <a:t>Tiempo</a:t>
            </a:r>
            <a:r>
              <a:rPr lang="es-CO" sz="1200" b="1" baseline="0">
                <a:solidFill>
                  <a:srgbClr val="FF0000"/>
                </a:solidFill>
                <a:latin typeface="+mn-lt"/>
              </a:rPr>
              <a:t> de respuesta Invitación Pública UEN</a:t>
            </a:r>
          </a:p>
          <a:p>
            <a:pPr>
              <a:defRPr/>
            </a:pPr>
            <a:r>
              <a:rPr lang="es-CO" sz="1050" b="1" baseline="0">
                <a:solidFill>
                  <a:srgbClr val="002060"/>
                </a:solidFill>
                <a:latin typeface="+mn-lt"/>
              </a:rPr>
              <a:t>(Meta 100 días calendario)</a:t>
            </a:r>
            <a:endParaRPr lang="es-CO" sz="1050" b="1">
              <a:solidFill>
                <a:srgbClr val="002060"/>
              </a:solidFill>
              <a:latin typeface="+mn-lt"/>
            </a:endParaRPr>
          </a:p>
        </c:rich>
      </c:tx>
      <c:layout>
        <c:manualLayout>
          <c:xMode val="edge"/>
          <c:yMode val="edge"/>
          <c:x val="0.24169359897101214"/>
          <c:y val="5.898879883735812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6.3397691974576023E-2"/>
                  <c:y val="7.61904554138581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F7F-4DDF-AF10-9A299482B221}"/>
                </c:ext>
                <c:ext xmlns:c15="http://schemas.microsoft.com/office/drawing/2012/chart" uri="{CE6537A1-D6FC-4f65-9D91-7224C49458BB}"/>
              </c:extLst>
            </c:dLbl>
            <c:dLbl>
              <c:idx val="1"/>
              <c:layout>
                <c:manualLayout>
                  <c:x val="-5.1510624729343056E-2"/>
                  <c:y val="6.2337645338611219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F7F-4DDF-AF10-9A299482B22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EJEC'!$M$60:$M$70</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EJEC'!$N$60:$N$70</c:f>
              <c:numCache>
                <c:formatCode>#,##0.0</c:formatCode>
                <c:ptCount val="11"/>
                <c:pt idx="0">
                  <c:v>0</c:v>
                </c:pt>
                <c:pt idx="1">
                  <c:v>0</c:v>
                </c:pt>
                <c:pt idx="2">
                  <c:v>0</c:v>
                </c:pt>
                <c:pt idx="3">
                  <c:v>0</c:v>
                </c:pt>
                <c:pt idx="4">
                  <c:v>82</c:v>
                </c:pt>
                <c:pt idx="5">
                  <c:v>99.5</c:v>
                </c:pt>
                <c:pt idx="6">
                  <c:v>94.111111111111114</c:v>
                </c:pt>
                <c:pt idx="7">
                  <c:v>0</c:v>
                </c:pt>
                <c:pt idx="8">
                  <c:v>109.22222222222223</c:v>
                </c:pt>
                <c:pt idx="9">
                  <c:v>0</c:v>
                </c:pt>
                <c:pt idx="10">
                  <c:v>0</c:v>
                </c:pt>
              </c:numCache>
            </c:numRef>
          </c:val>
          <c:smooth val="0"/>
          <c:extLst xmlns:c16r2="http://schemas.microsoft.com/office/drawing/2015/06/chart">
            <c:ext xmlns:c16="http://schemas.microsoft.com/office/drawing/2014/chart" uri="{C3380CC4-5D6E-409C-BE32-E72D297353CC}">
              <c16:uniqueId val="{00000000-0F7F-4DDF-AF10-9A299482B221}"/>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'INF EJEC'!$M$60:$M$70</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EJEC'!$O$60:$O$70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val>
          <c:smooth val="0"/>
          <c:extLst xmlns:c16r2="http://schemas.microsoft.com/office/drawing/2015/06/chart">
            <c:ext xmlns:c16="http://schemas.microsoft.com/office/drawing/2014/chart" uri="{C3380CC4-5D6E-409C-BE32-E72D297353CC}">
              <c16:uniqueId val="{00000005-8CBA-4F1B-9248-D9B61926A5AA}"/>
            </c:ext>
          </c:extLst>
        </c:ser>
        <c:dLbls>
          <c:showLegendKey val="0"/>
          <c:showVal val="0"/>
          <c:showCatName val="0"/>
          <c:showSerName val="0"/>
          <c:showPercent val="0"/>
          <c:showBubbleSize val="0"/>
        </c:dLbls>
        <c:marker val="1"/>
        <c:smooth val="0"/>
        <c:axId val="-1579056960"/>
        <c:axId val="-1579054784"/>
      </c:lineChart>
      <c:catAx>
        <c:axId val="-157905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9054784"/>
        <c:crosses val="autoZero"/>
        <c:auto val="1"/>
        <c:lblAlgn val="ctr"/>
        <c:lblOffset val="100"/>
        <c:noMultiLvlLbl val="0"/>
      </c:catAx>
      <c:valAx>
        <c:axId val="-157905478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9056960"/>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200" b="1">
                <a:solidFill>
                  <a:srgbClr val="FF0000"/>
                </a:solidFill>
                <a:latin typeface="+mn-lt"/>
              </a:rPr>
              <a:t>Tiempo</a:t>
            </a:r>
            <a:r>
              <a:rPr lang="es-CO" sz="1200" b="1" baseline="0">
                <a:solidFill>
                  <a:srgbClr val="FF0000"/>
                </a:solidFill>
                <a:latin typeface="+mn-lt"/>
              </a:rPr>
              <a:t> de respuesta Invitación Privada UEN</a:t>
            </a:r>
          </a:p>
          <a:p>
            <a:pPr>
              <a:defRPr/>
            </a:pPr>
            <a:r>
              <a:rPr lang="es-CO" sz="1050" b="1" baseline="0">
                <a:solidFill>
                  <a:srgbClr val="002060"/>
                </a:solidFill>
                <a:latin typeface="+mn-lt"/>
              </a:rPr>
              <a:t>(Meta 25 días hábiles)</a:t>
            </a:r>
            <a:endParaRPr lang="es-CO" sz="1050" b="1">
              <a:solidFill>
                <a:srgbClr val="002060"/>
              </a:solidFill>
              <a:latin typeface="+mn-lt"/>
            </a:endParaRPr>
          </a:p>
        </c:rich>
      </c:tx>
      <c:layout>
        <c:manualLayout>
          <c:xMode val="edge"/>
          <c:yMode val="edge"/>
          <c:x val="0.28419789870396417"/>
          <c:y val="4.76392917875362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B050"/>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'INF EJEC'!$M$78:$M$88</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EJEC'!$N$78:$N$88</c:f>
              <c:numCache>
                <c:formatCode>#,##0.0</c:formatCode>
                <c:ptCount val="11"/>
                <c:pt idx="0">
                  <c:v>0</c:v>
                </c:pt>
                <c:pt idx="1">
                  <c:v>0</c:v>
                </c:pt>
                <c:pt idx="2">
                  <c:v>0</c:v>
                </c:pt>
                <c:pt idx="3">
                  <c:v>0</c:v>
                </c:pt>
                <c:pt idx="4">
                  <c:v>0</c:v>
                </c:pt>
                <c:pt idx="5">
                  <c:v>0</c:v>
                </c:pt>
                <c:pt idx="6">
                  <c:v>21.4</c:v>
                </c:pt>
                <c:pt idx="7">
                  <c:v>26.0625</c:v>
                </c:pt>
                <c:pt idx="8">
                  <c:v>32.862745098039213</c:v>
                </c:pt>
                <c:pt idx="9">
                  <c:v>56</c:v>
                </c:pt>
                <c:pt idx="10">
                  <c:v>42</c:v>
                </c:pt>
              </c:numCache>
            </c:numRef>
          </c:val>
          <c:smooth val="0"/>
          <c:extLst xmlns:c16r2="http://schemas.microsoft.com/office/drawing/2015/06/chart">
            <c:ext xmlns:c16="http://schemas.microsoft.com/office/drawing/2014/chart" uri="{C3380CC4-5D6E-409C-BE32-E72D297353CC}">
              <c16:uniqueId val="{00000006-B17E-4B46-ACE4-A4827146A56D}"/>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'INF EJEC'!$M$78:$M$88</c:f>
              <c:strCache>
                <c:ptCount val="11"/>
                <c:pt idx="0">
                  <c:v>Jan</c:v>
                </c:pt>
                <c:pt idx="1">
                  <c:v>feb</c:v>
                </c:pt>
                <c:pt idx="2">
                  <c:v>mar</c:v>
                </c:pt>
                <c:pt idx="3">
                  <c:v>abr</c:v>
                </c:pt>
                <c:pt idx="4">
                  <c:v>may</c:v>
                </c:pt>
                <c:pt idx="5">
                  <c:v>jun</c:v>
                </c:pt>
                <c:pt idx="6">
                  <c:v>jul</c:v>
                </c:pt>
                <c:pt idx="7">
                  <c:v>ago</c:v>
                </c:pt>
                <c:pt idx="8">
                  <c:v>sep</c:v>
                </c:pt>
                <c:pt idx="9">
                  <c:v>oct</c:v>
                </c:pt>
                <c:pt idx="10">
                  <c:v>nov</c:v>
                </c:pt>
              </c:strCache>
            </c:strRef>
          </c:cat>
          <c:val>
            <c:numRef>
              <c:f>'INF EJEC'!$O$78:$O$88</c:f>
              <c:numCache>
                <c:formatCode>General</c:formatCode>
                <c:ptCount val="11"/>
                <c:pt idx="0">
                  <c:v>25</c:v>
                </c:pt>
                <c:pt idx="1">
                  <c:v>25</c:v>
                </c:pt>
                <c:pt idx="2">
                  <c:v>25</c:v>
                </c:pt>
                <c:pt idx="3">
                  <c:v>25</c:v>
                </c:pt>
                <c:pt idx="4">
                  <c:v>25</c:v>
                </c:pt>
                <c:pt idx="5">
                  <c:v>25</c:v>
                </c:pt>
                <c:pt idx="6">
                  <c:v>25</c:v>
                </c:pt>
                <c:pt idx="7">
                  <c:v>25</c:v>
                </c:pt>
                <c:pt idx="8">
                  <c:v>25</c:v>
                </c:pt>
                <c:pt idx="9">
                  <c:v>25</c:v>
                </c:pt>
                <c:pt idx="10">
                  <c:v>25</c:v>
                </c:pt>
              </c:numCache>
            </c:numRef>
          </c:val>
          <c:smooth val="0"/>
          <c:extLst xmlns:c16r2="http://schemas.microsoft.com/office/drawing/2015/06/chart">
            <c:ext xmlns:c16="http://schemas.microsoft.com/office/drawing/2014/chart" uri="{C3380CC4-5D6E-409C-BE32-E72D297353CC}">
              <c16:uniqueId val="{00000000-1C35-402E-ACBC-2DB0DA3F6F63}"/>
            </c:ext>
          </c:extLst>
        </c:ser>
        <c:dLbls>
          <c:showLegendKey val="0"/>
          <c:showVal val="0"/>
          <c:showCatName val="0"/>
          <c:showSerName val="0"/>
          <c:showPercent val="0"/>
          <c:showBubbleSize val="0"/>
        </c:dLbls>
        <c:marker val="1"/>
        <c:smooth val="0"/>
        <c:axId val="-1579058592"/>
        <c:axId val="-1579053152"/>
      </c:lineChart>
      <c:catAx>
        <c:axId val="-157905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9053152"/>
        <c:crosses val="autoZero"/>
        <c:auto val="1"/>
        <c:lblAlgn val="ctr"/>
        <c:lblOffset val="100"/>
        <c:noMultiLvlLbl val="0"/>
      </c:catAx>
      <c:valAx>
        <c:axId val="-15790531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9058592"/>
        <c:crosses val="autoZero"/>
        <c:crossBetween val="between"/>
        <c:majorUnit val="5"/>
      </c:valAx>
      <c:spPr>
        <a:noFill/>
        <a:ln>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17</xdr:col>
      <xdr:colOff>322036</xdr:colOff>
      <xdr:row>0</xdr:row>
      <xdr:rowOff>193041</xdr:rowOff>
    </xdr:from>
    <xdr:to>
      <xdr:col>23</xdr:col>
      <xdr:colOff>157842</xdr:colOff>
      <xdr:row>17</xdr:row>
      <xdr:rowOff>22861</xdr:rowOff>
    </xdr:to>
    <xdr:graphicFrame macro="">
      <xdr:nvGraphicFramePr>
        <xdr:cNvPr id="10" name="Gráfico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397934</xdr:colOff>
      <xdr:row>35</xdr:row>
      <xdr:rowOff>108858</xdr:rowOff>
    </xdr:from>
    <xdr:to>
      <xdr:col>26</xdr:col>
      <xdr:colOff>650631</xdr:colOff>
      <xdr:row>54</xdr:row>
      <xdr:rowOff>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328386</xdr:colOff>
      <xdr:row>17</xdr:row>
      <xdr:rowOff>223521</xdr:rowOff>
    </xdr:from>
    <xdr:to>
      <xdr:col>23</xdr:col>
      <xdr:colOff>152400</xdr:colOff>
      <xdr:row>34</xdr:row>
      <xdr:rowOff>153851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80962</xdr:colOff>
      <xdr:row>1</xdr:row>
      <xdr:rowOff>58272</xdr:rowOff>
    </xdr:from>
    <xdr:to>
      <xdr:col>42</xdr:col>
      <xdr:colOff>204787</xdr:colOff>
      <xdr:row>7</xdr:row>
      <xdr:rowOff>195943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342898</xdr:colOff>
      <xdr:row>1</xdr:row>
      <xdr:rowOff>49306</xdr:rowOff>
    </xdr:from>
    <xdr:to>
      <xdr:col>53</xdr:col>
      <xdr:colOff>47625</xdr:colOff>
      <xdr:row>7</xdr:row>
      <xdr:rowOff>206829</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252412</xdr:colOff>
      <xdr:row>36</xdr:row>
      <xdr:rowOff>48986</xdr:rowOff>
    </xdr:from>
    <xdr:to>
      <xdr:col>44</xdr:col>
      <xdr:colOff>219074</xdr:colOff>
      <xdr:row>48</xdr:row>
      <xdr:rowOff>146958</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0</xdr:colOff>
      <xdr:row>36</xdr:row>
      <xdr:rowOff>65314</xdr:rowOff>
    </xdr:from>
    <xdr:to>
      <xdr:col>54</xdr:col>
      <xdr:colOff>250372</xdr:colOff>
      <xdr:row>48</xdr:row>
      <xdr:rowOff>146957</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68715</xdr:colOff>
      <xdr:row>56</xdr:row>
      <xdr:rowOff>119743</xdr:rowOff>
    </xdr:from>
    <xdr:to>
      <xdr:col>26</xdr:col>
      <xdr:colOff>30843</xdr:colOff>
      <xdr:row>72</xdr:row>
      <xdr:rowOff>76199</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65313</xdr:colOff>
      <xdr:row>74</xdr:row>
      <xdr:rowOff>163287</xdr:rowOff>
    </xdr:from>
    <xdr:to>
      <xdr:col>26</xdr:col>
      <xdr:colOff>9978</xdr:colOff>
      <xdr:row>89</xdr:row>
      <xdr:rowOff>10207</xdr:rowOff>
    </xdr:to>
    <xdr:graphicFrame macro="">
      <xdr:nvGraphicFramePr>
        <xdr:cNvPr id="12"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9525</xdr:colOff>
      <xdr:row>111</xdr:row>
      <xdr:rowOff>65314</xdr:rowOff>
    </xdr:from>
    <xdr:to>
      <xdr:col>25</xdr:col>
      <xdr:colOff>447040</xdr:colOff>
      <xdr:row>126</xdr:row>
      <xdr:rowOff>38100</xdr:rowOff>
    </xdr:to>
    <xdr:graphicFrame macro="">
      <xdr:nvGraphicFramePr>
        <xdr:cNvPr id="14"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4763</xdr:colOff>
      <xdr:row>129</xdr:row>
      <xdr:rowOff>206829</xdr:rowOff>
    </xdr:from>
    <xdr:to>
      <xdr:col>26</xdr:col>
      <xdr:colOff>25400</xdr:colOff>
      <xdr:row>144</xdr:row>
      <xdr:rowOff>125187</xdr:rowOff>
    </xdr:to>
    <xdr:graphicFrame macro="">
      <xdr:nvGraphicFramePr>
        <xdr:cNvPr id="15" name="Gráfico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45358</xdr:colOff>
      <xdr:row>17</xdr:row>
      <xdr:rowOff>209550</xdr:rowOff>
    </xdr:from>
    <xdr:to>
      <xdr:col>43</xdr:col>
      <xdr:colOff>368980</xdr:colOff>
      <xdr:row>34</xdr:row>
      <xdr:rowOff>120830</xdr:rowOff>
    </xdr:to>
    <xdr:graphicFrame macro="">
      <xdr:nvGraphicFramePr>
        <xdr:cNvPr id="16" name="Gráfico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18</xdr:col>
      <xdr:colOff>0</xdr:colOff>
      <xdr:row>94</xdr:row>
      <xdr:rowOff>0</xdr:rowOff>
    </xdr:from>
    <xdr:to>
      <xdr:col>25</xdr:col>
      <xdr:colOff>437515</xdr:colOff>
      <xdr:row>108</xdr:row>
      <xdr:rowOff>201386</xdr:rowOff>
    </xdr:to>
    <xdr:graphicFrame macro="">
      <xdr:nvGraphicFramePr>
        <xdr:cNvPr id="17" name="Gráfico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0.01786</cdr:x>
      <cdr:y>0.03813</cdr:y>
    </cdr:from>
    <cdr:to>
      <cdr:x>0.36646</cdr:x>
      <cdr:y>0.14883</cdr:y>
    </cdr:to>
    <cdr:sp macro="" textlink="">
      <cdr:nvSpPr>
        <cdr:cNvPr id="2" name="Rectángulo 1"/>
        <cdr:cNvSpPr/>
      </cdr:nvSpPr>
      <cdr:spPr>
        <a:xfrm xmlns:a="http://schemas.openxmlformats.org/drawingml/2006/main">
          <a:off x="73169" y="87317"/>
          <a:ext cx="1428151" cy="253502"/>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r>
            <a:rPr lang="es-CO" sz="800">
              <a:solidFill>
                <a:sysClr val="windowText" lastClr="000000"/>
              </a:solidFill>
            </a:rPr>
            <a:t>Valores en millones de</a:t>
          </a:r>
          <a:r>
            <a:rPr lang="es-CO" sz="800" baseline="0">
              <a:solidFill>
                <a:sysClr val="windowText" lastClr="000000"/>
              </a:solidFill>
            </a:rPr>
            <a:t> $</a:t>
          </a:r>
          <a:endParaRPr lang="es-CO" sz="800">
            <a:solidFill>
              <a:sysClr val="windowText" lastClr="000000"/>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0.02005</cdr:x>
      <cdr:y>0.02417</cdr:y>
    </cdr:from>
    <cdr:to>
      <cdr:x>0.32287</cdr:x>
      <cdr:y>0.13283</cdr:y>
    </cdr:to>
    <cdr:sp macro="" textlink="">
      <cdr:nvSpPr>
        <cdr:cNvPr id="2" name="Rectángulo 1"/>
        <cdr:cNvSpPr/>
      </cdr:nvSpPr>
      <cdr:spPr>
        <a:xfrm xmlns:a="http://schemas.openxmlformats.org/drawingml/2006/main">
          <a:off x="85738" y="56331"/>
          <a:ext cx="1294933" cy="25324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es-CO" sz="800">
              <a:solidFill>
                <a:sysClr val="windowText" lastClr="000000"/>
              </a:solidFill>
            </a:rPr>
            <a:t>Valores en millones de</a:t>
          </a:r>
          <a:r>
            <a:rPr lang="es-CO" sz="800" baseline="0">
              <a:solidFill>
                <a:sysClr val="windowText" lastClr="000000"/>
              </a:solidFill>
            </a:rPr>
            <a:t> $</a:t>
          </a:r>
          <a:endParaRPr lang="es-CO" sz="8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BASE%20DE%20DATOS%20CONTROL%20PROCESOS%202022-%20CORTE%20ENE%20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mpimienta/Desktop/CUADRO%20SEGUIMIENTO%202021/Seguimiento%20requerimiento%20Abril%2029%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mpimienta/Desktop/CUADRO%20SEGUIMIENTO%202021/Seguimiento%20requerimientos%20GAE%2031%20de%20diciembre%2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10%20Base%20de%20Datos%20Octubre%202022%20-%20Laura%2011-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11%20Base%20de%20Datos%20Noviembre%2030%20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eapaz/Desktop/Info%20escritorio/1%20EMCALI/7%20INDICADORES%20E%20INFORMES/1%20BASE%20DE%20DATOS%20PROCESOS/A&#209;O%202022/12%20Base%20de%20Datos%20Diciembre%202022%20-%20Gloria%20Ene-20%20MO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acruz/Downloads/SEGUIMIENTO%20A%20LA%20CONTRATACION%20GAE%20%20octubre%2031%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INF EJEC"/>
      <sheetName val="CONTROL"/>
      <sheetName val="GESTOR"/>
      <sheetName val="DÍAS PÚBL"/>
      <sheetName val="DÍAS PRIV"/>
      <sheetName val="AHORRO"/>
      <sheetName val="FESTIV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v>44562</v>
          </cell>
        </row>
        <row r="4">
          <cell r="B4">
            <v>44571</v>
          </cell>
        </row>
        <row r="5">
          <cell r="B5">
            <v>44641</v>
          </cell>
        </row>
        <row r="6">
          <cell r="B6">
            <v>44662</v>
          </cell>
        </row>
        <row r="7">
          <cell r="B7">
            <v>44663</v>
          </cell>
        </row>
        <row r="8">
          <cell r="B8">
            <v>44664</v>
          </cell>
        </row>
        <row r="9">
          <cell r="B9">
            <v>44665</v>
          </cell>
        </row>
        <row r="10">
          <cell r="B10">
            <v>44666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CONSOLIDADO GESTORES"/>
      <sheetName val="Hoja10"/>
      <sheetName val="UEN´S"/>
      <sheetName val="INFORMATIVO"/>
      <sheetName val="CANT. PROCESOS"/>
      <sheetName val="GESTORES PROC."/>
      <sheetName val="CONTRATACIÓN"/>
      <sheetName val="Tablas"/>
    </sheetNames>
    <sheetDataSet>
      <sheetData sheetId="0"/>
      <sheetData sheetId="1"/>
      <sheetData sheetId="2"/>
      <sheetData sheetId="3"/>
      <sheetData sheetId="4">
        <row r="3">
          <cell r="AD3" t="str">
            <v>Invitacion Publica</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ONSOLIDADO GESTORES"/>
      <sheetName val="Hoja5"/>
      <sheetName val="UEN´S"/>
      <sheetName val="INFORMATIVO"/>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GESTORES"/>
      <sheetName val="validación"/>
      <sheetName val="INFORMATIVO"/>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VO"/>
      <sheetName val="SEGUMIENTO GAE"/>
      <sheetName val="CRUCE"/>
      <sheetName val="PROCESOS PRIORIZADOS "/>
      <sheetName val="Hoja1"/>
      <sheetName val="Hoja6"/>
      <sheetName val="Contratado"/>
      <sheetName val="Hoja4"/>
      <sheetName val="PS"/>
    </sheetNames>
    <sheetDataSet>
      <sheetData sheetId="0"/>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VO"/>
      <sheetName val="CM-AC"/>
      <sheetName val="SEGUMIENTO GAE"/>
      <sheetName val="Hoja3"/>
      <sheetName val="PROCESOS PRIORIZADOS "/>
      <sheetName val="Hoja1"/>
      <sheetName val="Hoja6"/>
      <sheetName val="Contratado"/>
      <sheetName val="Hoja4"/>
      <sheetName val="P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VO"/>
      <sheetName val="CONSOLIDADO GESTORES"/>
    </sheetNames>
    <sheetDataSet>
      <sheetData sheetId="0"/>
      <sheetData sheetId="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Hector Alejandro Paz" refreshedDate="45040.613943518518" createdVersion="6" refreshedVersion="6" minRefreshableVersion="3" recordCount="349">
  <cacheSource type="worksheet">
    <worksheetSource ref="B3:BB352" sheet="CONSOLIDADO"/>
  </cacheSource>
  <cacheFields count="53">
    <cacheField name="Ítem" numFmtId="1">
      <sharedItems containsSemiMixedTypes="0" containsString="0" containsNumber="1" containsInteger="1" minValue="1" maxValue="334"/>
    </cacheField>
    <cacheField name="Número Único" numFmtId="49">
      <sharedItems/>
    </cacheField>
    <cacheField name="Gerencia" numFmtId="0">
      <sharedItems count="13">
        <s v="GUENT"/>
        <s v="GUENE"/>
        <s v="GUENAA"/>
        <s v="GUENTIC"/>
        <s v="GAE"/>
        <s v="GAGHA"/>
        <s v="GTI"/>
        <s v="GG"/>
        <s v="GF"/>
        <s v="UENE" u="1"/>
        <s v="UENTIC" u="1"/>
        <s v="UENAA" u="1"/>
        <s v="GC" u="1"/>
      </sharedItems>
    </cacheField>
    <cacheField name="Fecha Radicación / Inicio de la Actividad" numFmtId="0">
      <sharedItems containsSemiMixedTypes="0" containsNonDate="0" containsDate="1" containsString="0" minDate="2021-07-08T00:00:00" maxDate="2022-07-14T00:00:00"/>
    </cacheField>
    <cacheField name="mes" numFmtId="0">
      <sharedItems containsMixedTypes="1" containsNumber="1" containsInteger="1" minValue="2021" maxValue="2021" count="8">
        <n v="2021"/>
        <s v="Jan"/>
        <s v="Feb"/>
        <s v="Mar"/>
        <s v="Apr"/>
        <s v="May"/>
        <s v="Jun"/>
        <s v="Jul"/>
      </sharedItems>
    </cacheField>
    <cacheField name="PACC" numFmtId="0">
      <sharedItems/>
    </cacheField>
    <cacheField name="Ficha de Requerimiento" numFmtId="0">
      <sharedItems/>
    </cacheField>
    <cacheField name="No. Acuerdo Comercial / Contrato Marco" numFmtId="0">
      <sharedItems/>
    </cacheField>
    <cacheField name="Objeto" numFmtId="0">
      <sharedItems longText="1"/>
    </cacheField>
    <cacheField name="Valor     Presupuestado " numFmtId="0">
      <sharedItems containsBlank="1" containsMixedTypes="1" containsNumber="1" minValue="1740970" maxValue="216455020493"/>
    </cacheField>
    <cacheField name="Plazo" numFmtId="0">
      <sharedItems containsDate="1" containsBlank="1" containsMixedTypes="1" minDate="2022-11-28T00:00:00" maxDate="2023-01-01T00:00:00"/>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556"/>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u="1"/>
      </sharedItems>
    </cacheField>
    <cacheField name="Gestor" numFmtId="0">
      <sharedItems count="36">
        <s v="AYDEE OVALLE"/>
        <s v="HAROLD MONDRAGON"/>
        <s v="JUAN PABLO QUIMBAYO"/>
        <s v="PABLO CAICEDO"/>
        <s v="VIAGNERY LOPEZ"/>
        <s v="ESTEFANIA SANCHEZ"/>
        <s v="ADALBERTO VALENCIA"/>
        <s v="ANA MARIA GIL"/>
        <s v="PAOLA BELTRAN"/>
        <s v="LEIDY FRANCO"/>
        <s v="LEIDY DIANA FRANCO"/>
        <s v="CRISTHIAN BURBANO"/>
        <s v="MARIO AREVALO"/>
        <s v="LINA ECHAVARRIA"/>
        <s v="FRANCIA RAMÍREZ"/>
        <s v="LUCY ARBELAEZ"/>
        <s v="JULIO GARCIA"/>
        <s v="SILVIA GALINDO"/>
        <s v="JHON LARRY "/>
        <s v="IVAN ALDANA"/>
        <s v="CENELIA CRUZ"/>
        <s v="LAURA PIMIENTA"/>
        <s v="JULIO ERAZO"/>
        <s v="JUAN DAVID GOMEZ"/>
        <s v="DIEGO PATIÑO"/>
        <s v="SIN ASIGNAR"/>
        <s v="JULIETA ORTIZ"/>
        <s v="NINFA SANTANA"/>
        <s v="AMPARO RENGIFO" u="1"/>
        <s v="LAURA ANGEL" u="1"/>
        <s v="JULIO ERNESTO GARCIA" u="1"/>
        <s v="CARLOS RODRIGUEZ" u="1"/>
        <s v="JHON LARRY CAICEDO" u="1"/>
        <s v="MARIA CAMILA OLIVEROS" u="1"/>
        <s v="CAMILO NUÑEZ" u="1"/>
        <s v="JESSICA ROJAS" u="1"/>
      </sharedItems>
    </cacheField>
    <cacheField name="Fecha de entrega al gestor" numFmtId="0">
      <sharedItems containsNonDate="0" containsDate="1" containsString="0" containsBlank="1" minDate="2021-01-06T00:00:00" maxDate="2022-08-09T00:00:00"/>
    </cacheField>
    <cacheField name="No. días en GAE" numFmtId="0">
      <sharedItems containsDate="1" containsBlank="1" containsMixedTypes="1" minDate="1900-01-09T02:52:12" maxDate="1900-01-04T01:38:04"/>
    </cacheField>
    <cacheField name="Dias desde asignado a gestor " numFmtId="0">
      <sharedItems containsBlank="1" containsMixedTypes="1" containsNumber="1" containsInteger="1" minValue="-44736" maxValue="44818"/>
    </cacheField>
    <cacheField name="Tramitado" numFmtId="0">
      <sharedItems containsBlank="1"/>
    </cacheField>
    <cacheField name="Estado 1" numFmtId="0">
      <sharedItems/>
    </cacheField>
    <cacheField name="Estado 2" numFmtId="0">
      <sharedItems count="4">
        <s v="CERRADO"/>
        <s v="CONTRATADO"/>
        <s v="DEVUELTO"/>
        <s v="EN TRAMITE" u="1"/>
      </sharedItems>
    </cacheField>
    <cacheField name="Observaciones" numFmtId="0">
      <sharedItems containsDate="1" containsBlank="1" containsMixedTypes="1" minDate="2022-11-18T00:00:00" maxDate="2022-12-10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03T00:00:00"/>
    </cacheField>
    <cacheField name="Mes fin" numFmtId="0">
      <sharedItems containsBlank="1"/>
    </cacheField>
    <cacheField name="Mes para indicadores" numFmtId="0">
      <sharedItems containsBlank="1" containsMixedTypes="1" containsNumber="1" containsInteger="1" minValue="113" maxValue="113"/>
    </cacheField>
    <cacheField name="Tiempo total Gae" numFmtId="0">
      <sharedItems containsString="0" containsBlank="1" containsNumber="1" containsInteger="1" minValue="-44729" maxValue="329"/>
    </cacheField>
    <cacheField name="Tiempo ejecucion del gestor" numFmtId="0">
      <sharedItems containsString="0" containsBlank="1" containsNumber="1" containsInteger="1" minValue="-44733" maxValue="44789"/>
    </cacheField>
    <cacheField name="Literal Manual de Contratacion" numFmtId="0">
      <sharedItems containsBlank="1"/>
    </cacheField>
    <cacheField name="Tipo de gasto" numFmtId="0">
      <sharedItems containsBlank="1"/>
    </cacheField>
    <cacheField name="No. Aceptacion de la oferta" numFmtId="0">
      <sharedItems containsBlank="1"/>
    </cacheField>
    <cacheField name="Fecha numeracion de la AO" numFmtId="0">
      <sharedItems containsDate="1" containsBlank="1" containsMixedTypes="1" minDate="2022-01-07T00:00:00" maxDate="2022-09-24T00:00:00"/>
    </cacheField>
    <cacheField name="Valor _x000a_adjudicado" numFmtId="0">
      <sharedItems containsBlank="1" containsMixedTypes="1" containsNumber="1" minValue="1323137" maxValue="215879358926"/>
    </cacheField>
    <cacheField name="Contratista" numFmtId="0">
      <sharedItems containsBlank="1"/>
    </cacheField>
    <cacheField name="R P" numFmtId="0">
      <sharedItems containsBlank="1" containsMixedTypes="1" containsNumber="1" containsInteger="1" minValue="20228346" maxValue="202208624"/>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40272900459729805"/>
    </cacheField>
    <cacheField name="Área" numFmtId="0">
      <sharedItems containsSemiMixedTypes="0" containsString="0" containsNumber="1" containsInteger="1" minValue="0" maxValue="1"/>
    </cacheField>
    <cacheField name="Tpo _x000a_Privada 1 _x000a_Pública 2" numFmtId="0">
      <sharedItems containsString="0" containsBlank="1" containsNumber="1" containsInteger="1" minValue="0" maxValue="2"/>
    </cacheField>
    <cacheField name="No. _x000a_de días" numFmtId="0">
      <sharedItems containsString="0" containsBlank="1" containsNumber="1" containsInteger="1" minValue="0" maxValue="18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Hector Alejandro Paz" refreshedDate="45040.613946296296" createdVersion="6" refreshedVersion="6" minRefreshableVersion="3" recordCount="629">
  <cacheSource type="worksheet">
    <worksheetSource ref="B3:BB632" sheet="CONSOLIDADO"/>
  </cacheSource>
  <cacheFields count="53">
    <cacheField name="Ítem" numFmtId="1">
      <sharedItems containsSemiMixedTypes="0" containsString="0" containsNumber="1" containsInteger="1" minValue="1" maxValue="614"/>
    </cacheField>
    <cacheField name="Número Único" numFmtId="0">
      <sharedItems/>
    </cacheField>
    <cacheField name="Gerencia" numFmtId="0">
      <sharedItems containsBlank="1"/>
    </cacheField>
    <cacheField name="Fecha Radicación / Inicio de la Actividad" numFmtId="0">
      <sharedItems containsSemiMixedTypes="0" containsNonDate="0" containsDate="1" containsString="0" minDate="2021-07-08T00:00:00" maxDate="2022-12-30T00:00:00"/>
    </cacheField>
    <cacheField name="mes" numFmtId="0">
      <sharedItems containsMixedTypes="1" containsNumber="1" containsInteger="1" minValue="2021" maxValue="2021" count="13">
        <n v="2021"/>
        <s v="Jan"/>
        <s v="Feb"/>
        <s v="Mar"/>
        <s v="Apr"/>
        <s v="May"/>
        <s v="Jun"/>
        <s v="Jul"/>
        <s v="Aug"/>
        <s v="Sep"/>
        <s v="Oct"/>
        <s v="Nov"/>
        <s v="Dec"/>
      </sharedItems>
    </cacheField>
    <cacheField name="PACC" numFmtId="0">
      <sharedItems containsBlank="1" containsMixedTypes="1" containsNumber="1" containsInteger="1" minValue="2022" maxValue="2022"/>
    </cacheField>
    <cacheField name="Ficha de Requerimiento" numFmtId="0">
      <sharedItems containsBlank="1"/>
    </cacheField>
    <cacheField name="No. Acuerdo Comercial / Contrato Marco" numFmtId="0">
      <sharedItems containsBlank="1"/>
    </cacheField>
    <cacheField name="Objeto" numFmtId="0">
      <sharedItems longText="1"/>
    </cacheField>
    <cacheField name="Valor     Presupuestado " numFmtId="0">
      <sharedItems containsBlank="1" containsMixedTypes="1" containsNumber="1" minValue="0" maxValue="216455020493"/>
    </cacheField>
    <cacheField name="Plazo" numFmtId="0">
      <sharedItems containsDate="1" containsBlank="1" containsMixedTypes="1" minDate="2022-11-28T00:00:00" maxDate="1900-01-04T16:59:05"/>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991"/>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sharedItems>
    </cacheField>
    <cacheField name="Gestor" numFmtId="0">
      <sharedItems containsBlank="1"/>
    </cacheField>
    <cacheField name="Fecha de entrega al gestor" numFmtId="0">
      <sharedItems containsNonDate="0" containsDate="1" containsString="0" containsBlank="1" minDate="2021-01-06T00:00:00" maxDate="2022-12-17T00:00:00"/>
    </cacheField>
    <cacheField name="No. días en GAE" numFmtId="0">
      <sharedItems containsDate="1" containsBlank="1" containsMixedTypes="1" minDate="1900-01-09T05:52:12" maxDate="1900-01-04T01:38:04"/>
    </cacheField>
    <cacheField name="Dias desde asignado a gestor " numFmtId="0">
      <sharedItems containsBlank="1" containsMixedTypes="1" containsNumber="1" containsInteger="1" minValue="-44759" maxValue="44949"/>
    </cacheField>
    <cacheField name="Tramitado" numFmtId="0">
      <sharedItems containsBlank="1"/>
    </cacheField>
    <cacheField name="Estado 1" numFmtId="0">
      <sharedItems containsBlank="1"/>
    </cacheField>
    <cacheField name="Estado 2" numFmtId="0">
      <sharedItems count="4">
        <s v="CERRADO"/>
        <s v="CONTRATADO"/>
        <s v="DEVUELTO"/>
        <s v="EN TRAMITE"/>
      </sharedItems>
    </cacheField>
    <cacheField name="Observaciones" numFmtId="0">
      <sharedItems containsDate="1" containsBlank="1" containsMixedTypes="1" minDate="2022-11-10T00:00:00" maxDate="2023-01-19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31T00:00:00"/>
    </cacheField>
    <cacheField name="Mes fin" numFmtId="0">
      <sharedItems containsDate="1" containsBlank="1" containsMixedTypes="1" minDate="2022-12-28T00:00:00" maxDate="2022-12-29T00:00:00" count="19">
        <s v=""/>
        <s v="Aug"/>
        <s v="Jan"/>
        <s v="Apr"/>
        <s v="ene"/>
        <m/>
        <s v="Feb"/>
        <s v="Mar"/>
        <s v="May"/>
        <s v="Jun"/>
        <s v="Jul"/>
        <s v="Sep"/>
        <s v="Oct"/>
        <s v="Nov"/>
        <s v="Dec"/>
        <d v="2022-12-28T00:00:00" u="1"/>
        <s v="Abr" u="1"/>
        <s v="Dic" u="1"/>
        <s v="Ago" u="1"/>
      </sharedItems>
    </cacheField>
    <cacheField name="Mes para indicadores" numFmtId="0">
      <sharedItems containsBlank="1" containsMixedTypes="1" containsNumber="1" containsInteger="1" minValue="19" maxValue="113"/>
    </cacheField>
    <cacheField name="Tiempo total Gae" numFmtId="0">
      <sharedItems containsString="0" containsBlank="1" containsNumber="1" containsInteger="1" minValue="-44924" maxValue="329"/>
    </cacheField>
    <cacheField name="Tiempo ejecucion del gestor" numFmtId="0">
      <sharedItems containsString="0" containsBlank="1" containsNumber="1" containsInteger="1" minValue="-44908" maxValue="44924"/>
    </cacheField>
    <cacheField name="Literal Manual de Contratacion" numFmtId="0">
      <sharedItems containsBlank="1"/>
    </cacheField>
    <cacheField name="Tipo de gasto" numFmtId="0">
      <sharedItems containsBlank="1"/>
    </cacheField>
    <cacheField name="No. Aceptacion de la oferta" numFmtId="0">
      <sharedItems containsBlank="1" containsMixedTypes="1" containsNumber="1" containsInteger="1" minValue="1" maxValue="1"/>
    </cacheField>
    <cacheField name="Fecha numeracion de la AO" numFmtId="0">
      <sharedItems containsDate="1" containsBlank="1" containsMixedTypes="1" minDate="2022-01-07T00:00:00" maxDate="2022-12-24T00:00:00"/>
    </cacheField>
    <cacheField name="Valor _x000a_adjudicado" numFmtId="0">
      <sharedItems containsBlank="1" containsMixedTypes="1" containsNumber="1" minValue="999600" maxValue="215879358926"/>
    </cacheField>
    <cacheField name="Contratista" numFmtId="0">
      <sharedItems containsBlank="1"/>
    </cacheField>
    <cacheField name="R P" numFmtId="0">
      <sharedItems containsBlank="1" containsMixedTypes="1" containsNumber="1" containsInteger="1" minValue="20228346" maxValue="202208815"/>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63593412400821114"/>
    </cacheField>
    <cacheField name="Área" numFmtId="0">
      <sharedItems containsSemiMixedTypes="0" containsString="0" containsNumber="1" containsInteger="1" minValue="0" maxValue="1"/>
    </cacheField>
    <cacheField name="Tpo _x000a_Privada 1 _x000a_Pública 2" numFmtId="0">
      <sharedItems containsString="0" containsBlank="1" containsNumber="1" containsInteger="1" minValue="0" maxValue="2"/>
    </cacheField>
    <cacheField name="No. _x000a_de días" numFmtId="0">
      <sharedItems containsString="0" containsBlank="1" containsNumber="1" containsInteger="1" minValue="0" maxValue="186"/>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Hector Alejandro Paz" refreshedDate="45040.613948379629" createdVersion="6" refreshedVersion="6" minRefreshableVersion="3" recordCount="629">
  <cacheSource type="worksheet">
    <worksheetSource ref="B3:BA632" sheet="CONSOLIDADO"/>
  </cacheSource>
  <cacheFields count="52">
    <cacheField name="Ítem" numFmtId="1">
      <sharedItems containsSemiMixedTypes="0" containsString="0" containsNumber="1" containsInteger="1" minValue="1" maxValue="614"/>
    </cacheField>
    <cacheField name="Número Único" numFmtId="0">
      <sharedItems/>
    </cacheField>
    <cacheField name="Gerencia" numFmtId="0">
      <sharedItems containsBlank="1"/>
    </cacheField>
    <cacheField name="Fecha Radicación / Inicio de la Actividad" numFmtId="0">
      <sharedItems containsSemiMixedTypes="0" containsNonDate="0" containsDate="1" containsString="0" minDate="2021-07-08T00:00:00" maxDate="2022-12-30T00:00:00"/>
    </cacheField>
    <cacheField name="mes" numFmtId="0">
      <sharedItems containsMixedTypes="1" containsNumber="1" containsInteger="1" minValue="2021" maxValue="2021" count="13">
        <n v="2021"/>
        <s v="Jan"/>
        <s v="Feb"/>
        <s v="Mar"/>
        <s v="Apr"/>
        <s v="May"/>
        <s v="Jun"/>
        <s v="Jul"/>
        <s v="Aug"/>
        <s v="Sep"/>
        <s v="Oct"/>
        <s v="Nov"/>
        <s v="Dec"/>
      </sharedItems>
    </cacheField>
    <cacheField name="PACC" numFmtId="0">
      <sharedItems containsBlank="1" containsMixedTypes="1" containsNumber="1" containsInteger="1" minValue="2022" maxValue="2022"/>
    </cacheField>
    <cacheField name="Ficha de Requerimiento" numFmtId="0">
      <sharedItems containsBlank="1"/>
    </cacheField>
    <cacheField name="No. Acuerdo Comercial / Contrato Marco" numFmtId="0">
      <sharedItems containsBlank="1"/>
    </cacheField>
    <cacheField name="Objeto" numFmtId="0">
      <sharedItems longText="1"/>
    </cacheField>
    <cacheField name="Valor     Presupuestado " numFmtId="0">
      <sharedItems containsBlank="1" containsMixedTypes="1" containsNumber="1" minValue="0" maxValue="216455020493"/>
    </cacheField>
    <cacheField name="Plazo" numFmtId="0">
      <sharedItems containsDate="1" containsBlank="1" containsMixedTypes="1" minDate="2022-11-28T00:00:00" maxDate="1900-01-04T16:59:05"/>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991"/>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sharedItems>
    </cacheField>
    <cacheField name="Gestor" numFmtId="0">
      <sharedItems containsBlank="1"/>
    </cacheField>
    <cacheField name="Fecha de entrega al gestor" numFmtId="0">
      <sharedItems containsNonDate="0" containsDate="1" containsString="0" containsBlank="1" minDate="2021-01-06T00:00:00" maxDate="2022-12-17T00:00:00"/>
    </cacheField>
    <cacheField name="No. días en GAE" numFmtId="0">
      <sharedItems containsDate="1" containsBlank="1" containsMixedTypes="1" minDate="1900-01-09T05:52:12" maxDate="1900-01-04T01:38:04"/>
    </cacheField>
    <cacheField name="Dias desde asignado a gestor " numFmtId="0">
      <sharedItems containsBlank="1" containsMixedTypes="1" containsNumber="1" containsInteger="1" minValue="-44759" maxValue="44949"/>
    </cacheField>
    <cacheField name="Tramitado" numFmtId="0">
      <sharedItems containsBlank="1"/>
    </cacheField>
    <cacheField name="Estado 1" numFmtId="0">
      <sharedItems containsBlank="1"/>
    </cacheField>
    <cacheField name="Estado 2" numFmtId="0">
      <sharedItems count="4">
        <s v="CERRADO"/>
        <s v="CONTRATADO"/>
        <s v="DEVUELTO"/>
        <s v="EN TRAMITE"/>
      </sharedItems>
    </cacheField>
    <cacheField name="Observaciones" numFmtId="0">
      <sharedItems containsDate="1" containsBlank="1" containsMixedTypes="1" minDate="2022-11-10T00:00:00" maxDate="2023-01-19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31T00:00:00"/>
    </cacheField>
    <cacheField name="Mes fin" numFmtId="0">
      <sharedItems containsBlank="1"/>
    </cacheField>
    <cacheField name="Mes para indicadores" numFmtId="0">
      <sharedItems containsBlank="1" containsMixedTypes="1" containsNumber="1" containsInteger="1" minValue="19" maxValue="113"/>
    </cacheField>
    <cacheField name="Tiempo total Gae" numFmtId="0">
      <sharedItems containsString="0" containsBlank="1" containsNumber="1" containsInteger="1" minValue="-44924" maxValue="329"/>
    </cacheField>
    <cacheField name="Tiempo ejecucion del gestor" numFmtId="0">
      <sharedItems containsString="0" containsBlank="1" containsNumber="1" containsInteger="1" minValue="-44908" maxValue="44924"/>
    </cacheField>
    <cacheField name="Literal Manual de Contratacion" numFmtId="0">
      <sharedItems containsBlank="1"/>
    </cacheField>
    <cacheField name="Tipo de gasto" numFmtId="0">
      <sharedItems containsBlank="1"/>
    </cacheField>
    <cacheField name="No. Aceptacion de la oferta" numFmtId="0">
      <sharedItems containsBlank="1" containsMixedTypes="1" containsNumber="1" containsInteger="1" minValue="1" maxValue="1"/>
    </cacheField>
    <cacheField name="Fecha numeracion de la AO" numFmtId="0">
      <sharedItems containsDate="1" containsBlank="1" containsMixedTypes="1" minDate="2022-01-07T00:00:00" maxDate="2022-12-24T00:00:00"/>
    </cacheField>
    <cacheField name="Valor _x000a_adjudicado" numFmtId="0">
      <sharedItems containsBlank="1" containsMixedTypes="1" containsNumber="1" minValue="999600" maxValue="215879358926"/>
    </cacheField>
    <cacheField name="Contratista" numFmtId="0">
      <sharedItems containsBlank="1"/>
    </cacheField>
    <cacheField name="R P" numFmtId="0">
      <sharedItems containsBlank="1" containsMixedTypes="1" containsNumber="1" containsInteger="1" minValue="20228346" maxValue="202208815"/>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63593412400821114"/>
    </cacheField>
    <cacheField name="Área" numFmtId="0">
      <sharedItems containsSemiMixedTypes="0" containsString="0" containsNumber="1" containsInteger="1" minValue="0" maxValue="1"/>
    </cacheField>
    <cacheField name="Tpo _x000a_Privada 1 _x000a_Pública 2" numFmtId="0">
      <sharedItems containsString="0" containsBlank="1" containsNumber="1" containsInteger="1" minValue="0" maxValue="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Hector Alejandro Paz" refreshedDate="45040.613949074075" createdVersion="6" refreshedVersion="6" minRefreshableVersion="3" recordCount="628">
  <cacheSource type="worksheet">
    <worksheetSource ref="B3:BB631" sheet="CONSOLIDADO"/>
  </cacheSource>
  <cacheFields count="53">
    <cacheField name="Ítem" numFmtId="1">
      <sharedItems containsSemiMixedTypes="0" containsString="0" containsNumber="1" containsInteger="1" minValue="1" maxValue="613"/>
    </cacheField>
    <cacheField name="Número Único" numFmtId="0">
      <sharedItems/>
    </cacheField>
    <cacheField name="Gerencia" numFmtId="0">
      <sharedItems containsBlank="1" count="11">
        <s v="GUENT"/>
        <s v="GUENE"/>
        <s v="GUENAA"/>
        <s v="GUENTIC"/>
        <s v="GAE"/>
        <s v="GAGHA"/>
        <s v="GTI"/>
        <s v="GG"/>
        <s v="GF"/>
        <m/>
        <s v="GC"/>
      </sharedItems>
    </cacheField>
    <cacheField name="Fecha Radicación / Inicio de la Actividad" numFmtId="0">
      <sharedItems containsSemiMixedTypes="0" containsNonDate="0" containsDate="1" containsString="0" minDate="2021-07-08T00:00:00" maxDate="2022-12-30T00:00:00"/>
    </cacheField>
    <cacheField name="mes" numFmtId="0">
      <sharedItems containsMixedTypes="1" containsNumber="1" containsInteger="1" minValue="2021" maxValue="2021" count="13">
        <n v="2021"/>
        <s v="Jan"/>
        <s v="Feb"/>
        <s v="Mar"/>
        <s v="Apr"/>
        <s v="May"/>
        <s v="Jun"/>
        <s v="Jul"/>
        <s v="Aug"/>
        <s v="Sep"/>
        <s v="Oct"/>
        <s v="Nov"/>
        <s v="Dec"/>
      </sharedItems>
    </cacheField>
    <cacheField name="PACC" numFmtId="0">
      <sharedItems containsBlank="1" containsMixedTypes="1" containsNumber="1" containsInteger="1" minValue="2022" maxValue="2022"/>
    </cacheField>
    <cacheField name="Ficha de Requerimiento" numFmtId="0">
      <sharedItems containsBlank="1"/>
    </cacheField>
    <cacheField name="No. Acuerdo Comercial / Contrato Marco" numFmtId="0">
      <sharedItems containsBlank="1"/>
    </cacheField>
    <cacheField name="Objeto" numFmtId="0">
      <sharedItems longText="1"/>
    </cacheField>
    <cacheField name="Valor     Presupuestado " numFmtId="0">
      <sharedItems containsBlank="1" containsMixedTypes="1" containsNumber="1" minValue="0" maxValue="216455020493"/>
    </cacheField>
    <cacheField name="Plazo" numFmtId="0">
      <sharedItems containsDate="1" containsBlank="1" containsMixedTypes="1" minDate="2022-11-28T00:00:00" maxDate="1900-01-04T16:59:05"/>
    </cacheField>
    <cacheField name="No. Proceso Contractual" numFmtId="0">
      <sharedItems containsBlank="1"/>
    </cacheField>
    <cacheField name="TIPO" numFmtId="0">
      <sharedItems containsBlank="1"/>
    </cacheField>
    <cacheField name="CDP" numFmtId="0">
      <sharedItems containsBlank="1" containsMixedTypes="1" containsNumber="1" containsInteger="1" minValue="20220919" maxValue="202205991"/>
    </cacheField>
    <cacheField name="Valor CDP" numFmtId="0">
      <sharedItems containsBlank="1" containsMixedTypes="1" containsNumber="1" containsInteger="1" minValue="0" maxValue="12106938145"/>
    </cacheField>
    <cacheField name="V.F." numFmtId="0">
      <sharedItems containsBlank="1" containsMixedTypes="1" containsNumber="1" containsInteger="1" minValue="202100035" maxValue="202100097"/>
    </cacheField>
    <cacheField name="Valor V.F." numFmtId="0">
      <sharedItems containsBlank="1" containsMixedTypes="1" containsNumber="1" containsInteger="1" minValue="2800000000" maxValue="72536381728"/>
    </cacheField>
    <cacheField name="Cuantía" numFmtId="0">
      <sharedItems containsBlank="1"/>
    </cacheField>
    <cacheField name="Modalidad" numFmtId="0">
      <sharedItems containsBlank="1" count="7">
        <s v="Invitación Pública"/>
        <s v="CM"/>
        <s v="Invitación Privada"/>
        <s v=" "/>
        <s v="in"/>
        <s v="AC"/>
        <m/>
      </sharedItems>
    </cacheField>
    <cacheField name="Gestor" numFmtId="0">
      <sharedItems containsBlank="1"/>
    </cacheField>
    <cacheField name="Fecha de entrega al gestor" numFmtId="0">
      <sharedItems containsNonDate="0" containsDate="1" containsString="0" containsBlank="1" minDate="2021-01-06T00:00:00" maxDate="2022-12-17T00:00:00"/>
    </cacheField>
    <cacheField name="No. días en GAE" numFmtId="0">
      <sharedItems containsDate="1" containsBlank="1" containsMixedTypes="1" minDate="1900-01-09T05:52:12" maxDate="1900-01-04T01:38:04"/>
    </cacheField>
    <cacheField name="Dias desde asignado a gestor " numFmtId="0">
      <sharedItems containsBlank="1" containsMixedTypes="1" containsNumber="1" containsInteger="1" minValue="-44759" maxValue="44949"/>
    </cacheField>
    <cacheField name="Tramitado" numFmtId="0">
      <sharedItems containsBlank="1"/>
    </cacheField>
    <cacheField name="Estado 1" numFmtId="0">
      <sharedItems containsBlank="1"/>
    </cacheField>
    <cacheField name="Estado 2" numFmtId="0">
      <sharedItems count="4">
        <s v="CERRADO"/>
        <s v="CONTRATADO"/>
        <s v="DEVUELTO"/>
        <s v="EN TRAMITE"/>
      </sharedItems>
    </cacheField>
    <cacheField name="Observaciones" numFmtId="0">
      <sharedItems containsDate="1" containsBlank="1" containsMixedTypes="1" minDate="2022-11-10T00:00:00" maxDate="2023-01-19T00:00:00" longText="1"/>
    </cacheField>
    <cacheField name="Pasa de píublica a privada" numFmtId="0">
      <sharedItems containsBlank="1" longText="1"/>
    </cacheField>
    <cacheField name="Fecha Entrega al Área solicitante" numFmtId="0">
      <sharedItems containsNonDate="0" containsDate="1" containsString="0" containsBlank="1" minDate="2022-01-04T00:00:00" maxDate="2022-12-31T00:00:00"/>
    </cacheField>
    <cacheField name="Mes fin" numFmtId="0">
      <sharedItems containsBlank="1" count="15">
        <s v=""/>
        <s v="Aug"/>
        <s v="Jan"/>
        <s v="Apr"/>
        <s v="ene"/>
        <m/>
        <s v="Feb"/>
        <s v="Mar"/>
        <s v="May"/>
        <s v="Jun"/>
        <s v="Jul"/>
        <s v="Sep"/>
        <s v="Oct"/>
        <s v="Nov"/>
        <s v="Dec"/>
      </sharedItems>
    </cacheField>
    <cacheField name="Mes para indicadores" numFmtId="0">
      <sharedItems containsBlank="1" containsMixedTypes="1" containsNumber="1" containsInteger="1" minValue="19" maxValue="113"/>
    </cacheField>
    <cacheField name="Tiempo total Gae" numFmtId="0">
      <sharedItems containsString="0" containsBlank="1" containsNumber="1" containsInteger="1" minValue="-44924" maxValue="329"/>
    </cacheField>
    <cacheField name="Tiempo ejecucion del gestor" numFmtId="0">
      <sharedItems containsString="0" containsBlank="1" containsNumber="1" containsInteger="1" minValue="-44908" maxValue="44924"/>
    </cacheField>
    <cacheField name="Literal Manual de Contratacion" numFmtId="0">
      <sharedItems containsBlank="1" count="9">
        <s v="N/A"/>
        <s v="C"/>
        <s v="G"/>
        <m/>
        <s v="M"/>
        <s v="B"/>
        <s v="L"/>
        <s v="A"/>
        <s v="D"/>
      </sharedItems>
    </cacheField>
    <cacheField name="Tipo de gasto" numFmtId="0">
      <sharedItems containsBlank="1"/>
    </cacheField>
    <cacheField name="No. Aceptacion de la oferta" numFmtId="0">
      <sharedItems containsBlank="1" containsMixedTypes="1" containsNumber="1" containsInteger="1" minValue="1" maxValue="1" count="366">
        <m/>
        <s v="500-CS-2039-2022"/>
        <s v="500-CO-0590-2022"/>
        <s v="500-AO-1683-2022"/>
        <s v="500-CO-1886-2022"/>
        <s v="500-CO-1887-2022"/>
        <s v="300-CMA-1892-2022"/>
        <s v="400-AO-1045-2022"/>
        <s v="400-AO-1313-2022"/>
        <s v="400-AO-1044-2022"/>
        <s v="400-AO-1366-2022"/>
        <s v="400-AO-1469-2022"/>
        <s v="400-AO-1567-2022"/>
        <s v="300-AO-1043-2022"/>
        <s v="300-AO-1325-2022"/>
        <s v="900-AO-1314-2022"/>
        <s v="800-AO-1312-2022"/>
        <s v="800-AO-1345-2022"/>
        <s v="800-AO-1344-2022"/>
        <s v="800-AO-1342-2022"/>
        <s v="800-AO-1338-2022"/>
        <s v="800-AO-0231-2022"/>
        <s v="500-AO-0976-2022"/>
        <s v="800-AO-1377-2022"/>
        <s v="800-AO-1378-2022"/>
        <s v="800-AO-1478-2022"/>
        <s v="800-CMA-1925-2021/800-AO-1670-2022"/>
        <s v="800-CMA-1914-2021/800-AO-1667-2022"/>
        <s v="800-CMA-1916-2021/800-AO-1669-2022"/>
        <s v="800-CMA-1913-2021/800-AO-1666-2022"/>
        <s v="800-CMA-1914-2021/800-AO-1668-2022"/>
        <s v="300-CMA-1714-2019/300-AO-1042-2022"/>
        <s v="800-AO-1340-2022"/>
        <s v="800-AO-1468-2022"/>
        <s v="800-AO-1041-2022"/>
        <s v="800-AO-1512-2022"/>
        <s v="800-AO-1316-2022"/>
        <s v="800-AO-1513-2022"/>
        <s v="500-AO-1456-2022"/>
        <s v="500-AO-1510-2022"/>
        <s v="500-AO-1472-2022"/>
        <s v="500-AO-1365-2022"/>
        <s v="500-AO-1428-2022"/>
        <s v="500-AO-1341-2022"/>
        <s v="500-AO-1375-2022"/>
        <s v="500-AO-1521-2022"/>
        <s v="500-AO-1511-2022"/>
        <s v="500-AO-1374-2022"/>
        <s v="300-AO-1420-2022"/>
        <s v="300-CMA-1241-2020/300-AO-1371-2022"/>
        <s v="300-CMA-1243-2020/300-AO-1372-2022"/>
        <s v="300-CMA-1243-2020/300-AO-1373-2022"/>
        <s v="300-CMA-1245-2020/300-AO-1616-2022"/>
        <s v="300-CMA-1246-2020/300-AO-1672-2022"/>
        <s v="100-AO-1328-2022"/>
        <s v="300-AO-1330-2022"/>
        <s v="300-AO-1311-2022"/>
        <s v="300-AO-1336-2022"/>
        <s v="300-AO-1308-2022"/>
        <s v="300-AO-1334-2022"/>
        <s v="300-AO-1422-2022"/>
        <s v="300-AO-1324-2022"/>
        <s v="300-AO-1318-2022"/>
        <s v="300-AO-1310-2022"/>
        <s v="300-AO-1335-2022"/>
        <s v="300-AO-1620-2022"/>
        <s v="300-AO-1523-2022"/>
        <s v="300-AO-1337-2022"/>
        <s v="300-AO-1332-2022"/>
        <s v="300-AO-1331-2022"/>
        <s v="300-AO-1309-2022"/>
        <s v="300-AO-1319-2022"/>
        <s v="300-AO-1329-2022"/>
        <s v="300-AO-1315-2022"/>
        <s v="500-AO-1473-2022"/>
        <s v="300-AO-1320-2022"/>
        <s v="300-AO-1524-2022"/>
        <s v="400-AO-1376-2022"/>
        <s v="500-AO-1323-2022"/>
        <s v="500-AO-1333-2022"/>
        <s v="400-AO-1470-2022"/>
        <s v="500-AO-1508-2022"/>
        <s v="200-AO-1516-2022"/>
        <s v="200-AO-1517-2022"/>
        <s v="200-AO-1518-2022"/>
        <s v="200-AO-1339-2022"/>
        <s v="200-AO-1520-2022"/>
        <s v="200-AO-1514-2022"/>
        <s v="200-AO-1519-2021"/>
        <s v="800-AO-1471-2022"/>
        <s v="500-AO-1509-2022"/>
        <s v="300-AO-1364-2022"/>
        <s v="500-AO-1522-2022"/>
        <s v="500-AO-1455-2022"/>
        <s v="300-AO-1321-2022"/>
        <s v="200-AO-1427-2022"/>
        <s v="200-AO-1477-2022"/>
        <s v="300-AO-1343-2022"/>
        <s v="200-AO-1515-2022"/>
        <s v="500-AO-1507-2022"/>
        <s v="300-CMA-1243-2020/300-AO-1676-2022"/>
        <s v="300-CMA-1242-2020/300-AO-1904-2022"/>
        <s v="300-CMA-1240-2020/300-AO-1677-2022"/>
        <s v="300-CMA-1974-2020/300-AO-1925-2022"/>
        <s v="300-AO-1927-2022"/>
        <s v="500-CMA-1743-2021/400-AO-1684-2022"/>
        <s v="200-AO-1891-2022"/>
        <s v="300-AO-1924-2022"/>
        <s v="300-AO-1893-2022"/>
        <s v="200-AO-1934-2022"/>
        <s v="300-AO-1953-2022"/>
        <s v="300-AO-1954-2022"/>
        <s v="200-AO-1911-2022"/>
        <s v="200-AO-1888-2022"/>
        <s v="200-AO-1910-2022"/>
        <s v="300-AO-1928-2022"/>
        <s v="300-AO-2024-2022"/>
        <s v="300-AO-2038-2022"/>
        <s v="300-CMA-1974-2021/300-AO-1935-2022"/>
        <s v="300-AO-2025-2022"/>
        <s v="300-AO-2116-2022"/>
        <s v="300-CMA-1243-2020/300-AO-1890-2022"/>
        <s v="300-CMA-1246-2020/300-AO-1902-2022"/>
        <s v="300-CMA-1245-2020/300-AO-1901-2022"/>
        <s v="300-CMA-1241-2020/300-AO-1896-2022"/>
        <s v="CMA-1246-2020/300-AO-1957-2022"/>
        <s v="500-CMA-1743-2021/500-AO-1900-2022"/>
        <s v="200-AO-1903-2022"/>
        <s v="300-CMA-1974-2020/400-AO-1932-2022_x000a__x000a_300-CMA-1974-2020/400-AO-1933-2022"/>
        <s v="300-AO-2217-2022"/>
        <s v="800-AO-2034-2022"/>
        <s v="400-AO1962-2022"/>
        <s v="300-CMA-1974-2020/300-AO-1926-2022"/>
        <s v="300-CMA-1974-2020/300-AO-1938-2022_x000a_300-CMA-1974-2020/300-AO-1936-2022"/>
        <s v="300-AO-2096-2022"/>
        <s v="300-CMA-1974-2020/300-AO-1942-2022"/>
        <s v="300-AO-2048-2022"/>
        <s v="CMA-1974-2020-300-AO-1943-2022"/>
        <s v="500-CMA-1743-2021/500-AO-1905-2022"/>
        <s v="300-AO-2089-2022"/>
        <s v="300-AO-2173-2022"/>
        <s v="800-AO-2072-2022"/>
        <s v="800-AO-2051-2022"/>
        <s v="800-AC-2040-2021/800-AO-1908-2022"/>
        <s v="500-CMA-1743-2021/300-AO-1944-2022"/>
        <s v="300-AO-2172-2022"/>
        <s v="300-AO-1969-2022"/>
        <s v="400-CMA-1353-2020/400-AO-1949-2022_x000a_400-CMA-1353-2020/400-AO-1950-2022_x000a_400-CMA-1353-2020/400-AO-1952-2022"/>
        <s v="300-AO-2171-2022"/>
        <s v="300-AO-1960-2022"/>
        <s v="300-AO-1959-2022"/>
        <s v="300-AO-2023-2022"/>
        <s v="300-AO-1980-2022"/>
        <s v="300-AO-2174-2022"/>
        <s v="CMA-1974-2020/300-AO-1945-2022"/>
        <s v="300-CM-1794-2020/300-AO-1943-2022"/>
        <s v="300-AO-2114-2022"/>
        <s v="300-AO-1961-2022"/>
        <s v="300-CMA-1974-2020/500-AO-1929-2022_x000a_300-CMA-1974-2020 500-AO-1930-2022"/>
        <s v="300-CMA-1743-2021/500-AO-1915-2022"/>
        <s v="200-AO-2035-2022"/>
        <s v="800-AO-2146-2022"/>
        <s v="800-CMA-1913-2021/800-AO-1909-2022"/>
        <s v="300-CMA-1974-2020-300-AO-1964-2022_x000a__x000a_300-CMA-1974-2020-300-AO-1965-2022"/>
        <s v="800-CMA-1916-2021/800-AO-2259-2022"/>
        <s v="CMA-1925-2021-800-AO-2261-2022 "/>
        <s v="800-CMA-1913-2021/800-AO-2250-2022"/>
        <s v="300-AO-2175-2022"/>
        <s v="300-AO-18987-2022"/>
        <s v="CMA-1743-2021/"/>
        <s v="300-PS-2179-2022"/>
        <s v="300-AO-2164-2022"/>
        <s v="300-AO-2052-2022"/>
        <s v="500-AO-1989-2022"/>
        <s v="400-AO-2256-2022"/>
        <s v="300-CMA-1974-2020/300-AO-1972-2022"/>
        <s v="300-AO-2288-2022"/>
        <s v="CMA-1974-2020/300-AO-1973-2022_x000a_CMA-1974-2020/300-AO-1973-2022"/>
        <s v="500-CMA-1743-2021/500-AO-1958-2022"/>
        <s v="300-CMA-1892-2022/ 300-AO-1956-2022"/>
        <s v="800-CS-2216-2022"/>
        <s v="300-CMA-1974-2020/300-AO-2020-2022_x000a_300-CMA-1974-2020/300-AO-2021-2022"/>
        <s v="800-CMA-1914-2021/800-AO-2251-2022"/>
        <s v="300-AO-2187-2022"/>
        <s v="500-AO-1948-2022"/>
        <s v="500-AO-1955-2020"/>
        <s v="500-CMA-1743-2021/500-AO-1970-2022"/>
        <s v="500-AO-2036-2022"/>
        <s v="300-AO-1992-2022"/>
        <s v="400-AO-2022-2022"/>
        <s v="400-AO-2046-2022"/>
        <s v="300-AO-2160-2022"/>
        <s v="300-AO-2074-2022"/>
        <s v="500-AO-2093-2022"/>
        <s v="300-AO-2221-2022"/>
        <s v="300-AO-1978-2022"/>
        <s v="100-AO-2222-2022"/>
        <s v="400-AO-2037-2022"/>
        <s v="300-AO-2101-2022"/>
        <s v="300-AO-2026-2022"/>
        <s v="300-AO-2047-2022"/>
        <s v="300-AO-2119-2022"/>
        <s v="300-AO-228-2022"/>
        <s v="300-AO-2050-2022"/>
        <s v="300-AO-1968-2022"/>
        <s v="CONTRATO DE MERGENCIA"/>
        <s v="300-CMA-1243-2020/300-AO-1979-2022"/>
        <s v="400-AO-2024-2022"/>
        <s v="800-AO-2053-2022"/>
        <s v="300-AO-1988-2022"/>
        <s v="200-AO-2335-2022"/>
        <s v="300-AO-2066-2022"/>
        <s v="300-AO-2054-2022"/>
        <s v="300-AO-2044-2022"/>
        <s v="300-AO-2032-2022"/>
        <s v="300-AO-2028-2022"/>
        <s v="200-AO-1976-222"/>
        <s v="300-AO-2339-2022"/>
        <s v="200-AO-2077-2022"/>
        <s v="500-AO-2208-2022"/>
        <s v="300-AO-2043-2022"/>
        <s v="400-AO-2073-2022"/>
        <s v="400-AO-2336-2022"/>
        <s v="400-AO-2178-2022"/>
        <s v="200-AO-2215-2022"/>
        <s v="500-AO-2363-2022"/>
        <s v="500-AO-2248-2022"/>
        <s v="300-AO-2281-2022"/>
        <s v="300-AO-2337-2022"/>
        <s v="300-AO-2088-2022"/>
        <s v="300-AO-2040-2022"/>
        <s v="300-AO-2078-2022"/>
        <s v="300-AO-2223-2022"/>
        <s v="300-AO-2338-2022"/>
        <s v="300-AO-2325-2022"/>
        <s v="300-AO-2484-2022"/>
        <s v="300-AO-2273-2022"/>
        <s v="800-AO-2092-2022"/>
        <s v="800-AO-2155-2022"/>
        <s v="300-AO-2253-2022"/>
        <s v="300-AO-2292-2022"/>
        <s v="800-AO-2432-2022"/>
        <s v="300-AO-2285-2022"/>
        <s v="CMA-1913-2021-800-AO-2079-2022"/>
        <s v="400-AO-2367-2022"/>
        <s v="500-AO-2023-2022"/>
        <s v="400-AO-2249-2022"/>
        <s v="300-AO-2340-2022"/>
        <s v="300-CMA-1243-2020/300-AO-2071-2022"/>
        <s v="300-CMA-1241-2020/300-AO-2145-2022"/>
        <s v="300-CMA-1246-2020/300-AO-2029-2022"/>
        <s v="800-AO-2283-2022"/>
        <s v="800-AO-2420-2022"/>
        <s v="800-AO-2161-2022"/>
        <s v="300-CMA-1245-2020/300-AO-2087-2022"/>
        <s v="500-AO-2113-2022"/>
        <s v="500-AO-2297-2022"/>
        <s v="200-AO-2271-2022"/>
        <s v="300-AO-2282-2022"/>
        <s v="500-AO-2322-2022"/>
        <s v="300-AO-2241-2022"/>
        <s v="300-AO-2296-2022"/>
        <s v="800-AO-2321-2022"/>
        <s v="800-AO-2377-2022"/>
        <s v="400-AO-2220-2022"/>
        <s v="800-AO-2227-2022"/>
        <s v="500-AO-2198-2022"/>
        <s v="300-AO-2103-2022"/>
        <s v="500-CMA-1743-2021/500-AO-2207-2022"/>
        <s v="300-CMA-1974-2020/300-AO-2199-2022_x000a_300-CMA-2200-2020/300-AO-2199-2022"/>
        <s v="300-AO-2240-2022"/>
        <s v="300-AO-2102-2022"/>
        <s v="200-AO-2186-2022"/>
        <s v="500-AO-2091-2022"/>
        <s v="800-CMA-1914-2021/800-AO-2258-2022"/>
        <s v="800-CMA-1914-2021/800-AO-2260-2022"/>
        <s v="500-AO-2081-2022_x000a_500-AO-2198-2022"/>
        <s v="400-AO-2245-2022"/>
        <s v="400-AO-2298-2022"/>
        <s v="400-AO-2295-2022"/>
        <s v="500-CMA-1743-2021/500-AO-2380-2022"/>
        <s v="300-AO-2214-2022"/>
        <s v="300-AO-2341-2022"/>
        <s v="300-AO-2225-2022"/>
        <s v="300-AO-2293-2022"/>
        <s v="500-AO-2104-2022"/>
        <s v="300-AO-2097-2022"/>
        <s v="800-AO-2275-2022"/>
        <s v="400-AO-2156-2022"/>
        <s v="300-AO-2257-2022"/>
        <s v="300-AO-2210-2022"/>
        <s v="400-AO-2246-2022"/>
        <s v="300-AO-2280-2022"/>
        <s v="300-AO-2201-2022"/>
        <s v="700-AO-2276-2022"/>
        <s v="500-AO-2184-2022"/>
        <s v="500-AO-2369-2022"/>
        <s v="300-AO-2252-2022"/>
        <s v="800-AO-2226-2022"/>
        <s v="300-CMA-1974-2020/300-AO-2204-2022_x000a_300-CMA-1974-2020/300-AO-2205-2022"/>
        <s v="300-AO-2320-2022"/>
        <s v="300-AO-2381-2022"/>
        <s v="300-CMA-1974-2020/300-AO-2242-2022_x000a_300-CMA-1974-2020/300-AO-2242-2022"/>
        <s v="800-CMA-1914-2021/800-AO-2331-2022"/>
        <s v="800-AO-2343-2022"/>
        <s v="500-AO-2344-2022"/>
        <s v="500-AO-2345-2022"/>
        <s v="500-AO-2346-2022"/>
        <s v="300-AO-2370-2022"/>
        <s v="800-CMA-1925-2021/800-AO-2334-2022"/>
        <s v="300-AO-2262-2022"/>
        <s v="500-AO-2255-2022"/>
        <s v="300-AO-2212-2022"/>
        <s v="300-AO-2209-2022"/>
        <s v="400-AO-2364-2022"/>
        <s v="300-AO-2194-2022"/>
        <s v="400-AO-2287-2022"/>
        <s v="CMA-1743-2021/500-AO-2237-2022"/>
        <s v="500-AO-2451-2022"/>
        <s v="500-AO-2382-2022"/>
        <s v="300-AO-2244-2022"/>
        <s v="800-AO-2373-2022"/>
        <s v="800-AO-2324-2022"/>
        <s v="800-AO-2284-2022"/>
        <s v="300-AO-2392-2022"/>
        <s v="300-AO-2274-2022"/>
        <s v="600-AO-2327-2022"/>
        <s v="300-AO-2373-2022"/>
        <s v="800-AO-2378-2022"/>
        <s v="400-AO-2427-2022"/>
        <s v="400-AO-2347-2022"/>
        <s v="300-AO-2456-2022"/>
        <s v="300-AO-2434-2022"/>
        <s v="300-AO-2453-2022"/>
        <s v="300-AO-2272-2022"/>
        <s v="800-CMA-1914-2021/800-AO-2332-2022"/>
        <s v="300-AO-2291-2022"/>
        <s v="300-AO-2289-2022"/>
        <s v="300-AO-2294-2022"/>
        <s v="300-AO-2290-2022"/>
        <s v="200-AO-2462-2022"/>
        <s v="200-AO-2365-2022"/>
        <s v="300-CMA-1974-2020/800-AO-2328-2022"/>
        <s v="500-AO-2483-2022"/>
        <s v="200-AO-2375-2022"/>
        <s v="CMA-1916-2021-800-AO-2333-2022"/>
        <s v="800-AO-2371-2022"/>
        <s v="500-AO-2366-2022"/>
        <s v="200-AO-2376-2022"/>
        <s v="200-AO-2477-2022"/>
        <s v="CMA-1974-2020-300-AO-2473-2022"/>
        <s v="AC-2040-2021_x000a_800-AO-2433-2022"/>
        <s v="200-AO-2441-2022"/>
        <s v="200-AO-2516-2022"/>
        <s v="200-AO-2518-2022"/>
        <s v="500-AO-2495-2022"/>
        <s v="500-AO-2507-2022"/>
        <s v="500-AO-2452-2022"/>
        <s v="800-AO-2476-2022"/>
        <s v="300-AO-2480-2022"/>
        <s v="200-AO-2457-2022"/>
        <s v="800-AO-2493-2022"/>
        <s v="CMA-1974-2020300-AO-2500-2022_x000a_CMA-1974-2020-300-AO-2499-2022"/>
        <s v="400-AO-2492-2022"/>
        <s v="CMA-1974-2020-300-AO-2513-2022"/>
        <n v="1"/>
      </sharedItems>
    </cacheField>
    <cacheField name="Fecha numeracion de la AO" numFmtId="0">
      <sharedItems containsDate="1" containsBlank="1" containsMixedTypes="1" minDate="2022-01-07T00:00:00" maxDate="1900-01-10T02:50:04"/>
    </cacheField>
    <cacheField name="Valor _x000a_adjudicado" numFmtId="0">
      <sharedItems containsBlank="1" containsMixedTypes="1" containsNumber="1" minValue="999600" maxValue="215879358926"/>
    </cacheField>
    <cacheField name="Contratista" numFmtId="0">
      <sharedItems containsBlank="1"/>
    </cacheField>
    <cacheField name="R P" numFmtId="0">
      <sharedItems containsBlank="1" containsMixedTypes="1" containsNumber="1" containsInteger="1" minValue="20228346" maxValue="202208815"/>
    </cacheField>
    <cacheField name="Valor Ahorro" numFmtId="0">
      <sharedItems containsBlank="1" containsMixedTypes="1" containsNumber="1" minValue="0" maxValue="979165100"/>
    </cacheField>
    <cacheField name="Indicador" numFmtId="0">
      <sharedItems containsBlank="1" containsMixedTypes="1" containsNumber="1" containsInteger="1" minValue="4961235" maxValue="3058210890"/>
    </cacheField>
    <cacheField name="Motivo retraso" numFmtId="0">
      <sharedItems containsBlank="1"/>
    </cacheField>
    <cacheField name="Variable inventario" numFmtId="0">
      <sharedItems containsBlank="1"/>
    </cacheField>
    <cacheField name="Fecha variable" numFmtId="0">
      <sharedItems containsDate="1" containsBlank="1" containsMixedTypes="1" minDate="2021-01-07T00:00:00" maxDate="2022-03-09T00:00:00"/>
    </cacheField>
    <cacheField name="NN" numFmtId="0">
      <sharedItems containsNonDate="0" containsString="0" containsBlank="1"/>
    </cacheField>
    <cacheField name="Ciudad proveedor" numFmtId="0">
      <sharedItems containsBlank="1"/>
    </cacheField>
    <cacheField name="Ubicación" numFmtId="0">
      <sharedItems containsBlank="1"/>
    </cacheField>
    <cacheField name="Dependencia" numFmtId="0">
      <sharedItems containsBlank="1"/>
    </cacheField>
    <cacheField name="Control ahorro" numFmtId="0">
      <sharedItems containsString="0" containsBlank="1" containsNumber="1" minValue="0" maxValue="0.63593412400821114"/>
    </cacheField>
    <cacheField name="Área" numFmtId="0">
      <sharedItems containsSemiMixedTypes="0" containsString="0" containsNumber="1" containsInteger="1" minValue="0" maxValue="1" count="2">
        <n v="1"/>
        <n v="0"/>
      </sharedItems>
    </cacheField>
    <cacheField name="Tpo _x000a_Privada 1 _x000a_Pública 2" numFmtId="0">
      <sharedItems containsString="0" containsBlank="1" containsNumber="1" containsInteger="1" minValue="0" maxValue="2"/>
    </cacheField>
    <cacheField name="No. _x000a_de días" numFmtId="0">
      <sharedItems containsString="0" containsBlank="1" containsNumber="1" containsInteger="1" minValue="0" maxValue="18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9">
  <r>
    <n v="1"/>
    <s v="0371"/>
    <x v="0"/>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x v="0"/>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s v=""/>
    <m/>
    <n v="-44385"/>
    <n v="-44392"/>
    <s v="N/A"/>
    <s v="INVERSION"/>
    <m/>
    <m/>
    <m/>
    <m/>
    <m/>
    <m/>
    <m/>
    <m/>
    <s v="N/A"/>
    <s v="N/A"/>
    <m/>
    <m/>
    <m/>
    <m/>
    <n v="0"/>
    <n v="1"/>
    <n v="2"/>
    <n v="0"/>
  </r>
  <r>
    <n v="2"/>
    <s v="0513"/>
    <x v="1"/>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x v="1"/>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s v="Aug"/>
    <m/>
    <n v="329"/>
    <n v="328"/>
    <s v="N/A"/>
    <s v="INVERSION"/>
    <s v="500-CS-2039-2022"/>
    <d v="2022-07-21T00:00:00"/>
    <n v="215879358926"/>
    <s v="UNION TEMPORAL AMI"/>
    <m/>
    <n v="575661567"/>
    <m/>
    <m/>
    <m/>
    <m/>
    <m/>
    <s v="CALI"/>
    <s v="LOCAL"/>
    <m/>
    <n v="2.6594974128521841E-3"/>
    <n v="1"/>
    <n v="2"/>
    <n v="186"/>
  </r>
  <r>
    <n v="3"/>
    <s v="0553"/>
    <x v="1"/>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x v="2"/>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s v="Jan"/>
    <m/>
    <n v="97"/>
    <n v="94"/>
    <s v="N/A"/>
    <s v="FUNCIONAMIENTO"/>
    <s v="500-CO-0590-2022"/>
    <d v="2022-01-14T00:00:00"/>
    <n v="74954422758"/>
    <s v="PROYECTOS DE INGENIERIA SA -PROING SA"/>
    <m/>
    <n v="45577242"/>
    <m/>
    <m/>
    <s v="N/A"/>
    <s v="N/A"/>
    <m/>
    <s v="CALI"/>
    <s v="LOCAL"/>
    <m/>
    <n v="6.0769655999999995E-4"/>
    <n v="1"/>
    <n v="2"/>
    <n v="97"/>
  </r>
  <r>
    <n v="4"/>
    <s v="0560"/>
    <x v="1"/>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x v="2"/>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s v="Apr"/>
    <m/>
    <n v="163"/>
    <n v="162"/>
    <s v="N/A"/>
    <s v="INVERSION"/>
    <s v="500-AO-1683-2022"/>
    <d v="2022-04-07T00:00:00"/>
    <n v="23666032488"/>
    <s v="CONSORCIO SB MELENDEZ 115"/>
    <m/>
    <n v="333967512"/>
    <m/>
    <m/>
    <s v="N/A"/>
    <s v="N/A"/>
    <m/>
    <s v="CALI"/>
    <s v="LOCAL"/>
    <m/>
    <n v="1.3915313E-2"/>
    <n v="1"/>
    <n v="2"/>
    <n v="101"/>
  </r>
  <r>
    <n v="5"/>
    <s v="0567"/>
    <x v="1"/>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x v="1"/>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6-2022"/>
    <d v="2022-03-23T00:00:00"/>
    <n v="12106938145"/>
    <s v="DELTEC SA"/>
    <m/>
    <n v="0"/>
    <m/>
    <m/>
    <s v="N/A"/>
    <s v="N/A"/>
    <m/>
    <s v="CALI"/>
    <s v="LOCAL"/>
    <m/>
    <n v="0"/>
    <n v="1"/>
    <n v="2"/>
    <n v="90"/>
  </r>
  <r>
    <n v="6"/>
    <s v="0568"/>
    <x v="1"/>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x v="1"/>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s v=""/>
    <m/>
    <n v="-44496"/>
    <n v="-44497"/>
    <s v="N/A"/>
    <s v="FUNCIONAMIENTO"/>
    <m/>
    <m/>
    <m/>
    <m/>
    <m/>
    <m/>
    <m/>
    <m/>
    <m/>
    <m/>
    <m/>
    <m/>
    <m/>
    <m/>
    <n v="0"/>
    <n v="1"/>
    <n v="2"/>
    <n v="0"/>
  </r>
  <r>
    <n v="7"/>
    <s v="0569"/>
    <x v="1"/>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x v="1"/>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7-2022"/>
    <d v="2022-03-23T00:00:00"/>
    <n v="4898840314"/>
    <s v="DELTEC SA"/>
    <m/>
    <n v="0"/>
    <m/>
    <m/>
    <s v="N/A"/>
    <s v="N/A"/>
    <m/>
    <s v="CALI"/>
    <s v="LOCAL"/>
    <m/>
    <n v="0"/>
    <n v="1"/>
    <n v="2"/>
    <n v="90"/>
  </r>
  <r>
    <n v="8"/>
    <s v="0590"/>
    <x v="2"/>
    <d v="2021-11-08T00:00:00"/>
    <x v="0"/>
    <s v="GAA1312"/>
    <s v="FR-300-GAA-0258-2021"/>
    <s v="N/A"/>
    <s v="Rehabilitar los componentes priorizados de las estructuras de Captación y Pretratamiento de la PTAP Río Cali."/>
    <n v="936000000"/>
    <s v="365 dias"/>
    <s v="900-IPU-0556-2021"/>
    <m/>
    <s v="N/A"/>
    <s v="N/A"/>
    <s v="108-202100108"/>
    <m/>
    <s v="Mayor cuantia"/>
    <x v="0"/>
    <x v="3"/>
    <d v="2021-11-09T00:00:00"/>
    <e v="#VALUE!"/>
    <e v="#VALUE!"/>
    <s v="NO"/>
    <s v="Cerrado"/>
    <x v="0"/>
    <s v="30 de diciembre se publico_x000a_21 de enero se encuentra suspendido a la espera del tramite de la vigencia futura y presupuesto"/>
    <m/>
    <m/>
    <s v=""/>
    <m/>
    <n v="-44508"/>
    <n v="-44509"/>
    <s v="N/A"/>
    <s v="INVERSION"/>
    <m/>
    <m/>
    <m/>
    <m/>
    <m/>
    <m/>
    <m/>
    <m/>
    <m/>
    <m/>
    <m/>
    <m/>
    <m/>
    <m/>
    <n v="0"/>
    <n v="1"/>
    <n v="2"/>
    <n v="0"/>
  </r>
  <r>
    <n v="9"/>
    <s v="0618"/>
    <x v="2"/>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x v="4"/>
    <d v="2021-11-22T00:00:00"/>
    <e v="#VALUE!"/>
    <e v="#VALUE!"/>
    <s v="NO"/>
    <s v="Devuelto"/>
    <x v="2"/>
    <s v="1 DE DICIEMBRE ESPERANDO INFORMACION DEL AREA"/>
    <m/>
    <d v="2022-01-14T00:00:00"/>
    <s v="ene"/>
    <m/>
    <n v="57"/>
    <n v="53"/>
    <s v="N/A"/>
    <s v="INVERSION"/>
    <m/>
    <m/>
    <m/>
    <m/>
    <m/>
    <m/>
    <m/>
    <m/>
    <m/>
    <m/>
    <m/>
    <m/>
    <m/>
    <m/>
    <n v="0"/>
    <n v="1"/>
    <n v="2"/>
    <n v="0"/>
  </r>
  <r>
    <n v="10"/>
    <s v="0619"/>
    <x v="2"/>
    <d v="2021-11-18T00:00:00"/>
    <x v="0"/>
    <s v="N/A"/>
    <s v="FR-300-GAA-0265-2021"/>
    <s v="N/A"/>
    <s v="Optimización de la estación de bombeo de aguas lluvias paso del comercio - paso iv."/>
    <n v="72536381728"/>
    <s v="23 MESES"/>
    <s v="900-IPU-0584-2021"/>
    <m/>
    <s v="N/A"/>
    <n v="0"/>
    <n v="202100042"/>
    <n v="72536381728"/>
    <s v="Mayor cuantia"/>
    <x v="0"/>
    <x v="4"/>
    <d v="2021-11-22T00:00:00"/>
    <e v="#VALUE!"/>
    <e v="#VALUE!"/>
    <s v="NO"/>
    <s v="Devuelto"/>
    <x v="2"/>
    <s v="1 DE DICIEMBRE ESPERANDO INFORMACION DEL AREA_x000a_SE DEVUELVE PORQUE ES NECESARIO TENER VIGENCIA EXCEPCIONALES"/>
    <m/>
    <d v="2022-01-14T00:00:00"/>
    <s v="ene"/>
    <m/>
    <n v="57"/>
    <n v="53"/>
    <s v="N/A"/>
    <s v="INVERSION"/>
    <m/>
    <m/>
    <m/>
    <m/>
    <m/>
    <m/>
    <m/>
    <m/>
    <m/>
    <m/>
    <m/>
    <m/>
    <m/>
    <m/>
    <n v="0"/>
    <n v="1"/>
    <n v="2"/>
    <n v="0"/>
  </r>
  <r>
    <n v="11"/>
    <s v="0636"/>
    <x v="1"/>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x v="5"/>
    <d v="2021-11-29T00:00:00"/>
    <e v="#VALUE!"/>
    <e v="#VALUE!"/>
    <s v="NO "/>
    <s v="Devuelto"/>
    <x v="2"/>
    <s v="21 DE ENERO SE TOMA LA DECSION DE DEVOLVERLO PORQUE NO LLEGO EL CDP"/>
    <m/>
    <m/>
    <s v=""/>
    <m/>
    <n v="-44530"/>
    <n v="-44529"/>
    <s v="N/A"/>
    <s v="INVERSION"/>
    <m/>
    <m/>
    <m/>
    <m/>
    <m/>
    <m/>
    <m/>
    <m/>
    <m/>
    <m/>
    <m/>
    <m/>
    <m/>
    <m/>
    <n v="0"/>
    <n v="1"/>
    <n v="0"/>
    <n v="0"/>
  </r>
  <r>
    <n v="12"/>
    <s v="0637"/>
    <x v="1"/>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x v="5"/>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s v=""/>
    <m/>
    <n v="-44530"/>
    <n v="-44529"/>
    <s v="N/A"/>
    <s v="INVERSION"/>
    <m/>
    <m/>
    <m/>
    <m/>
    <m/>
    <m/>
    <m/>
    <m/>
    <m/>
    <m/>
    <m/>
    <m/>
    <m/>
    <m/>
    <n v="0"/>
    <n v="1"/>
    <n v="0"/>
    <n v="0"/>
  </r>
  <r>
    <n v="13"/>
    <s v="0648"/>
    <x v="2"/>
    <d v="2021-12-13T00:00:00"/>
    <x v="0"/>
    <s v="GAA1321"/>
    <s v="FR-300-GAA-0271-2021"/>
    <s v="N/A"/>
    <s v="Obras civiles y mecánicas para construcción muro de concreto y optimización descarga estación de bombeo Guaduales."/>
    <n v="4543796519"/>
    <m/>
    <s v="N/A"/>
    <m/>
    <m/>
    <m/>
    <s v="108-202100058_x000a_EXCEPCIONAL"/>
    <m/>
    <s v="N/A"/>
    <x v="2"/>
    <x v="4"/>
    <d v="2022-01-04T00:00:00"/>
    <e v="#VALUE!"/>
    <e v="#VALUE!"/>
    <s v="NO"/>
    <s v="Devuelto"/>
    <x v="2"/>
    <m/>
    <m/>
    <d v="2022-01-14T00:00:00"/>
    <s v="ene"/>
    <m/>
    <n v="32"/>
    <n v="10"/>
    <s v="C"/>
    <s v="INVERSION"/>
    <m/>
    <m/>
    <m/>
    <m/>
    <m/>
    <m/>
    <m/>
    <m/>
    <m/>
    <m/>
    <m/>
    <m/>
    <m/>
    <m/>
    <n v="0"/>
    <n v="1"/>
    <n v="1"/>
    <n v="0"/>
  </r>
  <r>
    <n v="14"/>
    <s v="0649"/>
    <x v="2"/>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x v="4"/>
    <m/>
    <e v="#VALUE!"/>
    <e v="#VALUE!"/>
    <s v=" NO"/>
    <s v="Devuelto"/>
    <x v="2"/>
    <m/>
    <m/>
    <d v="2022-01-14T00:00:00"/>
    <s v="ene"/>
    <m/>
    <n v="32"/>
    <n v="44575"/>
    <s v="C"/>
    <s v="INVERSION"/>
    <m/>
    <m/>
    <m/>
    <m/>
    <m/>
    <m/>
    <m/>
    <m/>
    <s v="N/A"/>
    <s v="N/A"/>
    <m/>
    <m/>
    <m/>
    <m/>
    <n v="0"/>
    <n v="1"/>
    <n v="1"/>
    <n v="0"/>
  </r>
  <r>
    <n v="15"/>
    <s v="0653"/>
    <x v="2"/>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x v="0"/>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s v="Apr"/>
    <m/>
    <n v="149"/>
    <n v="149"/>
    <s v="N/A"/>
    <s v="FUNCIONAMIENTO"/>
    <s v="300-CMA-1892-2022"/>
    <n v="44650"/>
    <s v="INDETERMINADO"/>
    <s v="CALES DE COLOMBIA SA"/>
    <m/>
    <n v="0"/>
    <m/>
    <m/>
    <s v="N/A"/>
    <s v="N/A"/>
    <m/>
    <s v="MEDELLIN"/>
    <s v="NACIONAL"/>
    <m/>
    <n v="0"/>
    <n v="1"/>
    <n v="2"/>
    <n v="85"/>
  </r>
  <r>
    <n v="1"/>
    <s v="0001"/>
    <x v="0"/>
    <d v="2021-12-10T00:00:00"/>
    <x v="1"/>
    <s v="GT0148"/>
    <s v="FR-400-GT-0003-2022"/>
    <s v="N/A"/>
    <s v="Prestación de servicios de licenciamiento de software de las suites cpanel"/>
    <n v="16911804"/>
    <s v="30 dias"/>
    <s v="900-IP-0054-2022"/>
    <m/>
    <s v="PENDIENTE"/>
    <m/>
    <s v="N/A"/>
    <s v="N/A"/>
    <m/>
    <x v="2"/>
    <x v="6"/>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s v="Jan"/>
    <m/>
    <n v="49"/>
    <n v="25"/>
    <s v="G"/>
    <s v="FUNCIONAMIENTO"/>
    <s v="400-AO-1045-2022"/>
    <d v="2022-01-24T00:00:00"/>
    <n v="16911804"/>
    <s v="SOLUCIONES DE TELECOMUNICACIONES Y COMPUTO SAS"/>
    <m/>
    <n v="0"/>
    <m/>
    <m/>
    <s v="N/A"/>
    <s v="N/A"/>
    <m/>
    <s v="CALI"/>
    <s v="LOCAL"/>
    <m/>
    <n v="0"/>
    <n v="1"/>
    <n v="1"/>
    <n v="34"/>
  </r>
  <r>
    <n v="2"/>
    <s v="0002"/>
    <x v="0"/>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x v="6"/>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s v="Jan"/>
    <m/>
    <n v="74"/>
    <n v="50"/>
    <s v="G"/>
    <s v="FUNCIONAMIENTO"/>
    <s v="400-AO-1313-2022"/>
    <d v="2022-01-26T00:00:00"/>
    <n v="48391479"/>
    <s v="INGENIERIA DE SISTEMAS TELEMATICOS SA"/>
    <m/>
    <n v="292740"/>
    <m/>
    <m/>
    <s v="N/A"/>
    <s v="N/A"/>
    <m/>
    <s v="CALI"/>
    <s v="LOCAL"/>
    <m/>
    <n v="6.013036791244407E-3"/>
    <n v="1"/>
    <n v="1"/>
    <n v="51"/>
  </r>
  <r>
    <n v="3"/>
    <s v="0003"/>
    <x v="0"/>
    <d v="2021-12-10T00:00:00"/>
    <x v="1"/>
    <s v="GT0166"/>
    <s v="FR-400-GT-0005-2022"/>
    <s v="N/A"/>
    <s v="Soporte técnico, actualización y mantenimiento plataforma de Gestión de Redes de acceso WIFI"/>
    <n v="24347400"/>
    <s v="11 meses"/>
    <s v="900-IP-0056-2022"/>
    <m/>
    <n v="202201976"/>
    <n v="34396662"/>
    <s v="N/A"/>
    <s v="N/A"/>
    <m/>
    <x v="2"/>
    <x v="6"/>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s v="Jan"/>
    <m/>
    <n v="54"/>
    <n v="30"/>
    <s v="G"/>
    <s v="FUNCIONAMIENTO"/>
    <s v="400-AO-1044-2022"/>
    <d v="2022-01-24T00:00:00"/>
    <n v="19347400"/>
    <s v="SOLUCIONES DE TECNOLOGIA DE INGENIERIA SAS"/>
    <m/>
    <n v="5000000"/>
    <m/>
    <m/>
    <s v="N/A"/>
    <s v="N/A"/>
    <m/>
    <s v="CALI"/>
    <s v="LOCAL"/>
    <m/>
    <n v="0.20536073667003457"/>
    <n v="1"/>
    <n v="1"/>
    <n v="37"/>
  </r>
  <r>
    <n v="4"/>
    <s v="0004"/>
    <x v="3"/>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x v="7"/>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m/>
    <s v="ene"/>
    <n v="47"/>
    <n v="23"/>
    <m/>
    <s v="FUNCIONAMIENTO"/>
    <m/>
    <m/>
    <m/>
    <m/>
    <m/>
    <n v="121973133"/>
    <m/>
    <m/>
    <m/>
    <m/>
    <m/>
    <m/>
    <m/>
    <m/>
    <m/>
    <n v="0"/>
    <m/>
    <m/>
  </r>
  <r>
    <n v="5"/>
    <s v="0005"/>
    <x v="0"/>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x v="7"/>
    <d v="2022-01-03T00:00:00"/>
    <m/>
    <m/>
    <m/>
    <s v="Entregado al area"/>
    <x v="1"/>
    <s v="21 DE ENERO PARA FIRMA DE JEFE JORGE DE LA FPA E INVITACION_x000a_24 de enero evaluando y esperando subsanables_x000a_26 de enero en evaluacion_x000a_28 de enero solicitud de registro y polizas"/>
    <m/>
    <d v="2022-02-08T00:00:00"/>
    <s v="Jan"/>
    <m/>
    <n v="56"/>
    <n v="36"/>
    <s v="G"/>
    <s v="FUNCIONAMIENTO"/>
    <s v="400-AO-1366-2022"/>
    <d v="2022-01-27T00:00:00"/>
    <n v="193347661"/>
    <s v="MATRIX TELECOM LTDA"/>
    <m/>
    <n v="2419"/>
    <m/>
    <m/>
    <s v="2021-363"/>
    <d v="2021-01-07T00:00:00"/>
    <m/>
    <s v="BOGOTA"/>
    <s v="NACIONAL"/>
    <m/>
    <n v="1.2510985255346158E-5"/>
    <n v="1"/>
    <n v="1"/>
    <n v="39"/>
  </r>
  <r>
    <n v="6"/>
    <s v="0006"/>
    <x v="0"/>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x v="5"/>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s v="Jan"/>
    <m/>
    <n v="26"/>
    <n v="26"/>
    <s v="G"/>
    <s v="FUNCIONAMIENTO"/>
    <s v="400-AO-1469-2022"/>
    <d v="2022-01-28T00:00:00"/>
    <n v="220952060"/>
    <s v="IMEVALLE SAS"/>
    <m/>
    <n v="3027055"/>
    <m/>
    <m/>
    <s v="N/A"/>
    <s v="N/A"/>
    <m/>
    <s v="YUMBO"/>
    <s v="MUNICIPAL"/>
    <m/>
    <n v="1.3514898476136938E-2"/>
    <n v="1"/>
    <n v="1"/>
    <n v="18"/>
  </r>
  <r>
    <n v="7"/>
    <s v="0007"/>
    <x v="0"/>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x v="5"/>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s v="Jan"/>
    <m/>
    <n v="26"/>
    <n v="26"/>
    <s v="G"/>
    <s v="INVERSION"/>
    <s v="400-AO-1567-2022"/>
    <d v="2022-01-28T00:00:00"/>
    <n v="35070202"/>
    <s v="DISTRIELECTRICOS MAVI SAS"/>
    <m/>
    <n v="1929798"/>
    <m/>
    <m/>
    <s v="N/A"/>
    <s v="N/A"/>
    <m/>
    <s v="SANTANDER DE QUILICHAO"/>
    <s v="MUNICIPAL"/>
    <m/>
    <n v="5.2156702702702701E-2"/>
    <n v="1"/>
    <n v="1"/>
    <n v="18"/>
  </r>
  <r>
    <n v="8"/>
    <s v="0008"/>
    <x v="3"/>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x v="7"/>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m/>
    <s v="ene"/>
    <n v="6"/>
    <n v="6"/>
    <m/>
    <s v="FUNCIONAMIENTO"/>
    <m/>
    <m/>
    <m/>
    <m/>
    <m/>
    <n v="143761000"/>
    <m/>
    <m/>
    <m/>
    <m/>
    <m/>
    <m/>
    <m/>
    <m/>
    <m/>
    <n v="0"/>
    <m/>
    <m/>
  </r>
  <r>
    <n v="9"/>
    <s v="0009"/>
    <x v="2"/>
    <d v="2021-12-29T00:00:00"/>
    <x v="1"/>
    <s v="GAA0555"/>
    <s v="FR-300-GAA-0001-2022"/>
    <s v="N/A"/>
    <s v="Servicios de mantenimiento preventivo y correctivo de equipos menores."/>
    <n v="96889800"/>
    <s v="60 dias"/>
    <s v="900-IP-0101-2021"/>
    <m/>
    <s v="PENDIENTE"/>
    <m/>
    <s v="N/A"/>
    <s v="N/A"/>
    <m/>
    <x v="2"/>
    <x v="8"/>
    <d v="2022-01-03T00:00:00"/>
    <m/>
    <m/>
    <m/>
    <s v="Entregado al area"/>
    <x v="1"/>
    <s v="21 DE ENNERO EN REVISION DE INVITACION Y FP_x000a_24 de enero  se reciben la oferta el 25 de enero_x000a_26 DE ENERO EN APROBACION DE POLIZAS"/>
    <m/>
    <d v="2022-01-28T00:00:00"/>
    <s v="Jan"/>
    <m/>
    <n v="30"/>
    <n v="25"/>
    <s v="G"/>
    <s v="FUNCIONAMIENTO"/>
    <s v="300-AO-1043-2022"/>
    <d v="2022-01-25T00:00:00"/>
    <n v="96889800"/>
    <s v="TALLERES BRIG LTDA"/>
    <m/>
    <n v="0"/>
    <m/>
    <m/>
    <s v="N/A"/>
    <s v="N/A"/>
    <m/>
    <s v="CALI"/>
    <s v="LOCAL"/>
    <m/>
    <n v="0"/>
    <n v="1"/>
    <n v="1"/>
    <n v="21"/>
  </r>
  <r>
    <n v="10"/>
    <s v="0010"/>
    <x v="2"/>
    <d v="2021-12-30T00:00:00"/>
    <x v="1"/>
    <s v="GAA0556"/>
    <s v="FR-300-GAA-0002-2022"/>
    <s v="N/A"/>
    <s v="Prestar el servicio de transporte para apoyar la supervisión del contrato de obra_x000a_No 300-CO-1437-2018"/>
    <n v="148818450"/>
    <s v="8 meses"/>
    <s v="900-IP-0068-2022"/>
    <m/>
    <s v="PENDIENTE"/>
    <m/>
    <s v="N/A"/>
    <s v="N/A"/>
    <m/>
    <x v="2"/>
    <x v="8"/>
    <d v="2022-01-03T00:00:00"/>
    <m/>
    <m/>
    <m/>
    <s v="Entregado al area"/>
    <x v="1"/>
    <s v="21 DE ENERO EN COTIZACIONES_x000a_24 de enero  se reciben la oferta el 25 de enero_x000a_26 DE ENERO EN REVISION DE LA EVALUACION_x000a_28 DE ENERO EN RP Y POLIZAS"/>
    <m/>
    <d v="2022-02-28T00:00:00"/>
    <s v="Jan"/>
    <m/>
    <n v="60"/>
    <n v="56"/>
    <s v="G"/>
    <s v="INVERSION"/>
    <s v="300-AO-1325-2022"/>
    <d v="2022-01-27T00:00:00"/>
    <n v="124137000"/>
    <s v="FERNANCO CAIDEDO SUAREZ"/>
    <m/>
    <n v="24681450"/>
    <m/>
    <m/>
    <s v="N/A"/>
    <s v="N/A"/>
    <m/>
    <s v="CALI"/>
    <s v="LOCAL"/>
    <m/>
    <n v="0.16584939568984894"/>
    <n v="1"/>
    <n v="1"/>
    <n v="41"/>
  </r>
  <r>
    <n v="11"/>
    <s v="0011"/>
    <x v="4"/>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x v="5"/>
    <d v="2022-01-03T00:00:00"/>
    <m/>
    <m/>
    <m/>
    <s v="Entregado al area"/>
    <x v="1"/>
    <s v="21 DE ENERO ESPERANDO MODIFICACION DEL CDP PARA CONTINUAR_x000a_26 DE ENERO PARA LA FIRMA DE LA ACEPTACION DE LA OFERTA_x000a_28 de enero ensolicitud de polizar y rp"/>
    <m/>
    <d v="2022-02-15T00:00:00"/>
    <s v="Jan"/>
    <m/>
    <n v="47"/>
    <n v="43"/>
    <s v="G"/>
    <s v="FUNCIONAMIENTO"/>
    <s v="900-AO-1314-2022"/>
    <d v="2022-01-27T00:00:00"/>
    <n v="39612720"/>
    <s v="INFORMA COLOMBIA SA"/>
    <m/>
    <n v="1387280"/>
    <m/>
    <m/>
    <s v="N/A"/>
    <s v="N/A"/>
    <m/>
    <s v="BOGOTA "/>
    <s v="NACIONAL"/>
    <m/>
    <n v="3.3836097560975609E-2"/>
    <n v="0"/>
    <n v="1"/>
    <n v="32"/>
  </r>
  <r>
    <n v="12"/>
    <s v="0012"/>
    <x v="5"/>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x v="9"/>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s v="Jan"/>
    <m/>
    <n v="34"/>
    <n v="30"/>
    <s v="G"/>
    <s v="FUNCIONAMIENTO"/>
    <s v="800-AO-1312-2022"/>
    <d v="2022-01-27T00:00:00"/>
    <n v="11200000"/>
    <s v="MONICA ALAJENADRA LOZANO"/>
    <m/>
    <n v="0"/>
    <m/>
    <m/>
    <s v="N/A"/>
    <s v="N/A"/>
    <m/>
    <s v="CALI"/>
    <s v="LOCAL"/>
    <m/>
    <n v="0"/>
    <n v="0"/>
    <n v="1"/>
    <n v="23"/>
  </r>
  <r>
    <n v="13"/>
    <s v="0013"/>
    <x v="5"/>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x v="10"/>
    <d v="2022-01-03T00:00:00"/>
    <e v="#VALUE!"/>
    <e v="#VALUE!"/>
    <s v="NO"/>
    <s v="Cerrado"/>
    <x v="0"/>
    <m/>
    <s v="21  enero en revision de la invitacion _x000a_24 DE ENERO EN RECEPCION DE OFERTAS_x000a_26 DE ENERO EN REVISION DE LA EVALUACION_x000a_28 de enero se cerro por solicitud del area"/>
    <d v="2022-01-28T00:00:00"/>
    <m/>
    <s v="ene"/>
    <n v="29"/>
    <n v="25"/>
    <s v="G"/>
    <s v="FUNCIONAMIENTO"/>
    <m/>
    <m/>
    <m/>
    <m/>
    <m/>
    <m/>
    <n v="349318315"/>
    <m/>
    <m/>
    <m/>
    <m/>
    <m/>
    <m/>
    <m/>
    <m/>
    <n v="0"/>
    <m/>
    <m/>
  </r>
  <r>
    <n v="14"/>
    <s v="0014"/>
    <x v="5"/>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x v="9"/>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s v="Jan"/>
    <m/>
    <n v="35"/>
    <n v="30"/>
    <s v="G"/>
    <s v="FUNCIONAMIENTO"/>
    <s v="800-AO-1345-2022"/>
    <d v="2022-01-27T00:00:00"/>
    <n v="247069000"/>
    <s v="SPECTRA INGENIERIA SAS"/>
    <m/>
    <n v="0"/>
    <m/>
    <m/>
    <s v="N/A"/>
    <s v="N/A"/>
    <m/>
    <s v="CALI"/>
    <s v="LOCAL"/>
    <m/>
    <n v="0"/>
    <n v="0"/>
    <n v="1"/>
    <n v="24"/>
  </r>
  <r>
    <n v="15"/>
    <s v="0015"/>
    <x v="5"/>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x v="9"/>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s v="Jan"/>
    <m/>
    <n v="33"/>
    <n v="15"/>
    <s v="G"/>
    <s v="FUNCIONAMIENTO"/>
    <s v="800-AO-1344-2022"/>
    <d v="2022-01-27T00:00:00"/>
    <n v="46725000"/>
    <s v="ZAGAMOTOS DEL PACIFICO SAS"/>
    <m/>
    <n v="0"/>
    <m/>
    <m/>
    <s v="N/A"/>
    <s v="N/A"/>
    <m/>
    <s v="CALI"/>
    <s v="LOCAL"/>
    <m/>
    <n v="0"/>
    <n v="0"/>
    <n v="1"/>
    <n v="22"/>
  </r>
  <r>
    <n v="16"/>
    <s v="0016"/>
    <x v="6"/>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x v="11"/>
    <d v="2022-01-04T00:00:00"/>
    <e v="#VALUE!"/>
    <e v="#VALUE!"/>
    <s v="NO"/>
    <s v="Devuelto"/>
    <x v="2"/>
    <m/>
    <s v="SE DEVUELVEN PORQUE NO SE RECIBIO CDP POR PARTE DEL AREA"/>
    <d v="2022-01-28T00:00:00"/>
    <m/>
    <s v="ene"/>
    <n v="25"/>
    <n v="24"/>
    <s v="G"/>
    <s v="FUNCIONAMIENTO"/>
    <m/>
    <m/>
    <m/>
    <m/>
    <m/>
    <n v="320000000"/>
    <m/>
    <m/>
    <m/>
    <m/>
    <m/>
    <m/>
    <m/>
    <m/>
    <m/>
    <n v="0"/>
    <m/>
    <m/>
  </r>
  <r>
    <n v="17"/>
    <s v="0017"/>
    <x v="6"/>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x v="11"/>
    <d v="2022-01-04T00:00:00"/>
    <e v="#VALUE!"/>
    <e v="#VALUE!"/>
    <s v="NO"/>
    <s v="Devuelto"/>
    <x v="2"/>
    <m/>
    <s v="SE DEVUELVEN PORQUE NO SE RECIBIO CDP POR PARTE DEL AREA"/>
    <d v="2022-01-28T00:00:00"/>
    <m/>
    <s v="ene"/>
    <n v="25"/>
    <n v="24"/>
    <s v="G"/>
    <s v="FUNCIONAMIENTO"/>
    <m/>
    <m/>
    <m/>
    <m/>
    <m/>
    <n v="287471000"/>
    <m/>
    <m/>
    <m/>
    <m/>
    <m/>
    <m/>
    <m/>
    <m/>
    <m/>
    <n v="0"/>
    <m/>
    <m/>
  </r>
  <r>
    <n v="18"/>
    <s v="0018"/>
    <x v="6"/>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x v="3"/>
    <d v="2022-01-06T00:00:00"/>
    <e v="#VALUE!"/>
    <e v="#VALUE!"/>
    <s v="NO"/>
    <s v="Devuelto"/>
    <x v="2"/>
    <m/>
    <s v="DEVUELTO PORQUE NO TENIAN CDP"/>
    <d v="2022-01-17T00:00:00"/>
    <m/>
    <s v="ene"/>
    <n v="14"/>
    <n v="11"/>
    <s v="G"/>
    <s v="FUNCIONAMIENTO"/>
    <m/>
    <m/>
    <m/>
    <m/>
    <m/>
    <n v="350000000"/>
    <m/>
    <m/>
    <m/>
    <m/>
    <m/>
    <m/>
    <m/>
    <m/>
    <m/>
    <n v="0"/>
    <m/>
    <m/>
  </r>
  <r>
    <n v="19"/>
    <s v="0019"/>
    <x v="6"/>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x v="11"/>
    <d v="2022-01-06T00:00:00"/>
    <e v="#VALUE!"/>
    <e v="#VALUE!"/>
    <s v="NO"/>
    <s v="Devuelto"/>
    <x v="2"/>
    <m/>
    <s v="SE DVUELVE PORQUE NO TENIA CDP"/>
    <d v="2022-01-17T00:00:00"/>
    <m/>
    <s v="ene"/>
    <n v="14"/>
    <n v="11"/>
    <s v="G"/>
    <s v="FUNCIONAMIENTO"/>
    <m/>
    <m/>
    <m/>
    <m/>
    <m/>
    <n v="349698036"/>
    <m/>
    <m/>
    <m/>
    <m/>
    <m/>
    <m/>
    <m/>
    <m/>
    <m/>
    <n v="0"/>
    <m/>
    <m/>
  </r>
  <r>
    <n v="20"/>
    <s v="0020"/>
    <x v="6"/>
    <d v="2022-01-03T00:00:00"/>
    <x v="1"/>
    <s v="GTI0002"/>
    <s v="FR-200-GTI-0008-2022"/>
    <s v="N/A"/>
    <s v="Adquirir renovación plataforma Proxi y Filtrado de Contenido."/>
    <n v="214140187"/>
    <m/>
    <m/>
    <s v=""/>
    <s v="PENDIENTE"/>
    <m/>
    <s v="N/A"/>
    <s v="N/A"/>
    <s v="N/A"/>
    <x v="3"/>
    <x v="3"/>
    <d v="2021-01-06T00:00:00"/>
    <e v="#VALUE!"/>
    <e v="#VALUE!"/>
    <s v="NO"/>
    <s v="Devuelto"/>
    <x v="2"/>
    <m/>
    <s v="Se devuelve porque no tenian CDP"/>
    <d v="2022-01-17T00:00:00"/>
    <m/>
    <s v="ene"/>
    <n v="14"/>
    <n v="376"/>
    <s v="G"/>
    <s v="FUNCIONAMIENTO"/>
    <m/>
    <m/>
    <m/>
    <m/>
    <m/>
    <n v="214140187"/>
    <m/>
    <m/>
    <m/>
    <m/>
    <m/>
    <m/>
    <m/>
    <m/>
    <m/>
    <n v="0"/>
    <m/>
    <m/>
  </r>
  <r>
    <n v="21"/>
    <s v="0021"/>
    <x v="6"/>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x v="3"/>
    <d v="2022-01-06T00:00:00"/>
    <e v="#VALUE!"/>
    <e v="#VALUE!"/>
    <s v="NO"/>
    <s v="Devuelto"/>
    <x v="2"/>
    <m/>
    <s v="SE DEVUELVE PORQUE NO TENIA CDP"/>
    <d v="2022-01-17T00:00:00"/>
    <m/>
    <s v="ene"/>
    <n v="14"/>
    <n v="11"/>
    <s v="G"/>
    <s v="FUNCIONAMIENTO"/>
    <m/>
    <m/>
    <m/>
    <m/>
    <m/>
    <n v="443076766"/>
    <m/>
    <m/>
    <m/>
    <m/>
    <m/>
    <m/>
    <m/>
    <m/>
    <m/>
    <n v="0"/>
    <m/>
    <m/>
  </r>
  <r>
    <n v="22"/>
    <s v="0022"/>
    <x v="6"/>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x v="3"/>
    <d v="2022-01-06T00:00:00"/>
    <e v="#VALUE!"/>
    <e v="#VALUE!"/>
    <s v="NO"/>
    <s v="Devuelto"/>
    <x v="2"/>
    <m/>
    <s v="SE DEVUELVE PROQUE LO DEBE CONTRATAR LA MISMA AREA"/>
    <d v="2022-01-04T00:00:00"/>
    <m/>
    <s v="ene"/>
    <n v="1"/>
    <n v="-2"/>
    <s v="G"/>
    <s v="FUNCIONAMIENTO"/>
    <m/>
    <m/>
    <m/>
    <m/>
    <m/>
    <n v="114000000"/>
    <m/>
    <m/>
    <m/>
    <m/>
    <m/>
    <m/>
    <m/>
    <m/>
    <m/>
    <n v="0"/>
    <m/>
    <m/>
  </r>
  <r>
    <n v="23"/>
    <s v="0023"/>
    <x v="5"/>
    <d v="2022-01-03T00:00:00"/>
    <x v="1"/>
    <s v="GHA0044"/>
    <s v="FR-800-GAGHA-0081-2022"/>
    <s v="N/A"/>
    <s v="Realizar el mantenimiento y reparación de 49 vallas adscritas a la Unidad de Seguridad Fisica y Electrónica."/>
    <n v="8300012"/>
    <s v="31 DE DICIEMBRE 2022"/>
    <s v="900-IP-0071-2021"/>
    <m/>
    <n v="20220919"/>
    <n v="333219580"/>
    <s v="N/A"/>
    <s v="N/A"/>
    <m/>
    <x v="2"/>
    <x v="12"/>
    <d v="2022-01-12T00:00:00"/>
    <m/>
    <m/>
    <m/>
    <s v="Entregado al area"/>
    <x v="1"/>
    <s v="12 DE ENERO LLEGARON LOS _x000a_21 DE ENERO EN REVISION DE LA FPA E INVITACION_x000a_24 DE ENERO EN RECEPCION DE OFERTAS_x000a_26 DE ENERO EN REVISION DE LA EVALUACION_x000a_28 DE ENERO EN RP Y POLIZAS"/>
    <m/>
    <d v="2022-02-07T00:00:00"/>
    <s v="Jan"/>
    <m/>
    <n v="35"/>
    <n v="26"/>
    <s v="G"/>
    <s v="FUNCIONAMIENTO"/>
    <s v="800-AO-1342-2022"/>
    <d v="2022-01-26T00:00:00"/>
    <n v="8300012"/>
    <s v="LILI JOHANA SERNA MACHADO"/>
    <m/>
    <n v="0"/>
    <m/>
    <m/>
    <s v="N/A"/>
    <s v="N/A"/>
    <m/>
    <s v="CALI"/>
    <s v="LOCAL"/>
    <m/>
    <n v="0"/>
    <n v="0"/>
    <n v="1"/>
    <n v="24"/>
  </r>
  <r>
    <n v="24"/>
    <s v="0024"/>
    <x v="5"/>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x v="12"/>
    <d v="2022-01-12T00:00:00"/>
    <m/>
    <m/>
    <m/>
    <s v="Entregado al area"/>
    <x v="1"/>
    <s v="21 DE ENERO EN REVISION DE LA FPA E INVITACION_x000a_24 DE ENERO EN RECEPCION DE OFERTAS_x000a_28 DE ENERO EN RP Y POLIZAS"/>
    <m/>
    <d v="2022-02-15T00:00:00"/>
    <s v="Jan"/>
    <m/>
    <n v="43"/>
    <n v="34"/>
    <s v="G"/>
    <s v="FUNCIONAMIENTO"/>
    <s v="800-AO-1338-2022"/>
    <d v="2022-01-27T00:00:00"/>
    <n v="32870684"/>
    <s v="IDENTIFICACION DE COLOMBIA SAS"/>
    <m/>
    <n v="176073"/>
    <m/>
    <m/>
    <s v="N/A"/>
    <s v="N/A"/>
    <m/>
    <s v="CALI"/>
    <s v="LOCAL"/>
    <m/>
    <n v="5.3279963295641986E-3"/>
    <n v="0"/>
    <n v="1"/>
    <n v="30"/>
  </r>
  <r>
    <n v="25"/>
    <s v="0025"/>
    <x v="5"/>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x v="11"/>
    <d v="2022-01-05T00:00:00"/>
    <m/>
    <m/>
    <m/>
    <s v="Entregado al area"/>
    <x v="1"/>
    <s v="24 DE ENERO EN APROBACION DE POLIZAS_x000a_26 DE ENERO CONTRATADO_x000a_"/>
    <m/>
    <d v="2022-01-28T00:00:00"/>
    <s v="Jan"/>
    <m/>
    <n v="23"/>
    <n v="23"/>
    <s v="G"/>
    <s v="FUNCIONAMIENTO"/>
    <s v="800-AO-0231-2022"/>
    <d v="2022-01-07T00:00:00"/>
    <n v="11795189"/>
    <s v="CARVAJAL TECNOLOGIA  Y SERVICIO SAS"/>
    <m/>
    <n v="46811"/>
    <m/>
    <m/>
    <s v="N/A"/>
    <s v="N/A"/>
    <m/>
    <s v="CALI"/>
    <s v="LOCAL"/>
    <m/>
    <n v="3.952964026346901E-3"/>
    <n v="0"/>
    <n v="1"/>
    <n v="16"/>
  </r>
  <r>
    <n v="26"/>
    <s v="0026"/>
    <x v="1"/>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x v="8"/>
    <d v="2021-01-06T00:00:00"/>
    <m/>
    <m/>
    <m/>
    <s v="Entregado al area"/>
    <x v="1"/>
    <s v="21 DE ENERO EN COTIZACIONES_x000a_24 de enero en solicitud de polizas y rp_x000a_26 DE ENERO EN APROBACION DE POLIZAS_x000a_28 DE ENRO EN APROBACION DE POLIZAS"/>
    <m/>
    <d v="2022-01-28T00:00:00"/>
    <s v="Jan"/>
    <m/>
    <n v="22"/>
    <n v="387"/>
    <s v="G"/>
    <s v="FUNCIONAMIENTO"/>
    <s v="500-AO-0976-2022"/>
    <d v="2022-01-21T00:00:00"/>
    <n v="36212000"/>
    <s v="NUEVO DIARIO DE OCCIDENTE SAS"/>
    <m/>
    <n v="840900"/>
    <m/>
    <m/>
    <s v="N/A"/>
    <s v="N/A"/>
    <m/>
    <s v="CALI"/>
    <s v="LOCAL"/>
    <m/>
    <n v="2.2694579911423936E-2"/>
    <n v="1"/>
    <n v="1"/>
    <n v="15"/>
  </r>
  <r>
    <n v="27"/>
    <s v="0027"/>
    <x v="5"/>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x v="12"/>
    <d v="2022-01-11T00:00:00"/>
    <e v="#VALUE!"/>
    <e v="#VALUE!"/>
    <s v="NO"/>
    <s v="Devuelto"/>
    <x v="2"/>
    <m/>
    <s v="21 DE ENERO EN REVISION DE LA FPA E INVITACION_x000a_24 DE ENERO EN RECEPCION DE OFERTAS_x000a_26 DE ENERO  DEVUELTO POR SOLICITUD DEL GERENTE"/>
    <d v="2022-01-26T00:00:00"/>
    <m/>
    <s v="ene"/>
    <n v="19"/>
    <n v="15"/>
    <s v="G"/>
    <s v="FUNCIONAMIENTO"/>
    <m/>
    <m/>
    <m/>
    <m/>
    <m/>
    <n v="162036036"/>
    <m/>
    <m/>
    <m/>
    <m/>
    <m/>
    <m/>
    <m/>
    <m/>
    <m/>
    <n v="0"/>
    <m/>
    <m/>
  </r>
  <r>
    <n v="28"/>
    <s v="0028"/>
    <x v="5"/>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x v="9"/>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s v="Jan"/>
    <m/>
    <n v="27"/>
    <n v="20"/>
    <s v="G"/>
    <s v="FUNCIONAMIENTO"/>
    <s v="800-AO-1377-2022"/>
    <d v="2022-01-27T00:00:00"/>
    <n v="197542274"/>
    <s v="COMPAÑÍA PARA LA CONSTRUCCION ESTUFDIOS TECNICOS MAQUINARIA Y MANTENIMIENTO PARA LA INGENIERIA  ARQUITECTURA Y OBRAS CIVILES SAS"/>
    <m/>
    <n v="0"/>
    <m/>
    <m/>
    <s v="2021-380"/>
    <d v="2022-01-21T00:00:00"/>
    <m/>
    <s v="CALI"/>
    <s v="LOCAL"/>
    <m/>
    <n v="0"/>
    <n v="0"/>
    <n v="1"/>
    <n v="18"/>
  </r>
  <r>
    <n v="29"/>
    <s v="0029"/>
    <x v="5"/>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x v="9"/>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s v="Jan"/>
    <m/>
    <n v="25"/>
    <n v="18"/>
    <s v="G"/>
    <s v="FUNCIONAMIENTO"/>
    <s v="800-AO-1378-2022"/>
    <d v="2022-01-27T00:00:00"/>
    <n v="122910984"/>
    <s v="VULCANIZADORA DE LA CRUZ"/>
    <m/>
    <n v="0"/>
    <m/>
    <m/>
    <s v="N/A"/>
    <s v="N/A"/>
    <m/>
    <s v="CALI"/>
    <s v="LOCAL"/>
    <m/>
    <n v="0"/>
    <n v="0"/>
    <n v="1"/>
    <n v="16"/>
  </r>
  <r>
    <n v="30"/>
    <s v="0030"/>
    <x v="5"/>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x v="13"/>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s v="Jan"/>
    <m/>
    <n v="32"/>
    <n v="20"/>
    <s v="C"/>
    <s v="FUNCIONAMIENTO"/>
    <s v="800-AO-1478-2022"/>
    <d v="2022-01-28T00:00:00"/>
    <n v="258750040"/>
    <s v="CENTRO AUTOMOTRIZ DE REPARACION  Y SERVICIOS LTDA  CARS LTDA"/>
    <m/>
    <n v="0"/>
    <m/>
    <m/>
    <s v="2021-369"/>
    <d v="2021-12-14T00:00:00"/>
    <m/>
    <s v="CALI"/>
    <s v="LOCAL"/>
    <m/>
    <n v="0"/>
    <n v="0"/>
    <n v="1"/>
    <n v="21"/>
  </r>
  <r>
    <n v="31"/>
    <s v="0031"/>
    <x v="5"/>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x v="14"/>
    <d v="2022-01-11T00:00:00"/>
    <m/>
    <m/>
    <m/>
    <s v="Entregado al area"/>
    <x v="1"/>
    <s v="21 DE ENERO EN REVISION DE LA INVITACION"/>
    <m/>
    <d v="2022-02-16T00:00:00"/>
    <s v="Feb"/>
    <m/>
    <n v="40"/>
    <n v="36"/>
    <s v="N/A"/>
    <s v="FUNCIONAMIENTO"/>
    <s v="800-CMA-1925-2021/800-AO-1670-2022"/>
    <d v="2022-02-08T00:00:00"/>
    <n v="150971296"/>
    <s v="CONSORCIO DOMAQ 2021"/>
    <m/>
    <n v="7945858"/>
    <m/>
    <m/>
    <s v="N/A"/>
    <s v="N/A"/>
    <m/>
    <s v="CALI"/>
    <s v="LOCAL"/>
    <m/>
    <n v="5.000000188777607E-2"/>
    <n v="0"/>
    <n v="0"/>
    <n v="40"/>
  </r>
  <r>
    <n v="32"/>
    <s v="0032"/>
    <x v="5"/>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x v="14"/>
    <d v="2022-01-11T00:00:00"/>
    <m/>
    <m/>
    <m/>
    <s v="Entregado al area"/>
    <x v="1"/>
    <s v="21 DE ENERO EN REVISION DE LA INVITACION"/>
    <m/>
    <d v="2022-02-22T00:00:00"/>
    <s v="Feb"/>
    <m/>
    <n v="46"/>
    <n v="42"/>
    <s v="N/A"/>
    <s v="FUNCIONAMIENTO"/>
    <s v="800-CMA-1914-2021/800-AO-1667-2022"/>
    <d v="2022-02-08T00:00:00"/>
    <n v="187090041"/>
    <s v="UNION TEMPORAL M&amp;C2021"/>
    <m/>
    <n v="9846845"/>
    <m/>
    <m/>
    <s v="N/A"/>
    <s v="N/A"/>
    <m/>
    <s v="CALI"/>
    <s v="LOCAL"/>
    <m/>
    <n v="5.0000003554438247E-2"/>
    <n v="0"/>
    <n v="0"/>
    <n v="46"/>
  </r>
  <r>
    <n v="33"/>
    <s v="0033"/>
    <x v="5"/>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x v="14"/>
    <d v="2022-01-11T00:00:00"/>
    <m/>
    <m/>
    <m/>
    <s v="Entregado al area"/>
    <x v="1"/>
    <s v="21 DE ENERO ESPERANDO LA MODIFICACION DEL FORMULARIO DE PRECIOS Y CANTIDADES"/>
    <m/>
    <d v="2022-02-18T00:00:00"/>
    <s v="Feb"/>
    <m/>
    <n v="42"/>
    <n v="38"/>
    <s v="N/A"/>
    <s v="FUNCIONAMIENTO"/>
    <s v="800-CMA-1916-2021/800-AO-1669-2022"/>
    <d v="2022-02-08T00:00:00"/>
    <n v="296008394"/>
    <s v="CONSORCIO IGS 2021"/>
    <m/>
    <n v="15579389"/>
    <m/>
    <m/>
    <s v="N/A"/>
    <s v="N/A"/>
    <m/>
    <s v="CALI"/>
    <s v="LOCAL"/>
    <m/>
    <n v="4.9999999518594733E-2"/>
    <n v="0"/>
    <n v="0"/>
    <n v="42"/>
  </r>
  <r>
    <n v="34"/>
    <s v="0034"/>
    <x v="5"/>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x v="14"/>
    <d v="2022-01-11T00:00:00"/>
    <m/>
    <m/>
    <m/>
    <s v="Entregado al area"/>
    <x v="1"/>
    <s v="21 DE ENERO ESPERANDO LA MODIFICACION DEL FORMULARIO DE PRECIOS Y CANTIDADES"/>
    <m/>
    <d v="2022-02-25T00:00:00"/>
    <s v="Feb"/>
    <m/>
    <n v="49"/>
    <n v="45"/>
    <s v="N/A"/>
    <s v="FUNCIONAMIENTO"/>
    <s v="800-CMA-1913-2021/800-AO-1666-2022"/>
    <d v="2022-02-08T00:00:00"/>
    <n v="418913098"/>
    <s v="GUSTAVO ADOLFO TORRES DUARTE"/>
    <m/>
    <n v="22048057"/>
    <m/>
    <m/>
    <s v="N/A"/>
    <s v="N/A"/>
    <m/>
    <s v="BOGOTA"/>
    <s v="NACIONAL"/>
    <m/>
    <n v="4.9999998299169915E-2"/>
    <n v="0"/>
    <n v="0"/>
    <n v="49"/>
  </r>
  <r>
    <n v="35"/>
    <s v="0035"/>
    <x v="5"/>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x v="14"/>
    <d v="2022-01-11T00:00:00"/>
    <m/>
    <m/>
    <m/>
    <s v="Entregado al area"/>
    <x v="1"/>
    <s v="21 DE ENERO ESPERANDO LA MODIFICACION DEL FORMULARIO DE PRECIOS Y CANTIDADES"/>
    <m/>
    <d v="2022-02-16T00:00:00"/>
    <s v="Feb"/>
    <m/>
    <n v="40"/>
    <n v="36"/>
    <s v="N/A"/>
    <s v="FUNCIONAMIENTO"/>
    <s v="800-CMA-1914-2021/800-AO-1668-2022"/>
    <d v="2022-02-08T00:00:00"/>
    <n v="434290090"/>
    <s v="UNION TEMPORAL  M&amp;C2021"/>
    <m/>
    <n v="22857373"/>
    <m/>
    <m/>
    <s v="N/A"/>
    <s v="N/A"/>
    <m/>
    <s v="CALI"/>
    <s v="LOCAL"/>
    <m/>
    <n v="4.9999999671878306E-2"/>
    <n v="0"/>
    <n v="0"/>
    <n v="40"/>
  </r>
  <r>
    <n v="36"/>
    <s v="0036"/>
    <x v="2"/>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x v="15"/>
    <d v="2022-01-13T00:00:00"/>
    <m/>
    <m/>
    <m/>
    <s v="Entregado al area"/>
    <x v="1"/>
    <m/>
    <m/>
    <d v="2022-02-16T00:00:00"/>
    <s v="Feb"/>
    <m/>
    <n v="34"/>
    <n v="34"/>
    <s v="N/A"/>
    <s v="OPERACIÓN"/>
    <s v="300-CMA-1714-2019/300-AO-1042-2022"/>
    <d v="2022-01-25T00:00:00"/>
    <n v="328131896"/>
    <s v="CALES DE COLOMBIA SA"/>
    <m/>
    <n v="17908607"/>
    <m/>
    <m/>
    <s v="N/A"/>
    <s v="N/A"/>
    <m/>
    <s v="MEDELLIN"/>
    <s v="NACIONAL"/>
    <m/>
    <n v="5.1752921535893157E-2"/>
    <n v="1"/>
    <n v="0"/>
    <n v="34"/>
  </r>
  <r>
    <n v="37"/>
    <s v="0037"/>
    <x v="5"/>
    <d v="2022-01-14T00:00:00"/>
    <x v="1"/>
    <s v="GHA0048"/>
    <s v="FR-800-GAGHA-0097-2022"/>
    <s v="N/A"/>
    <s v="Suministrar dotación de calzado a los Servidores Públicos de EMCALI EICE ESP."/>
    <n v="463917000"/>
    <s v="29 de abril 2022"/>
    <s v="900-IP-0091-2022"/>
    <m/>
    <n v="202200920"/>
    <n v="463917000"/>
    <s v="N/A"/>
    <s v="N/A"/>
    <m/>
    <x v="2"/>
    <x v="3"/>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s v="Jan"/>
    <m/>
    <n v="24"/>
    <n v="21"/>
    <s v="G"/>
    <s v="FUNCIONAMIENTO"/>
    <s v="800-AO-1340-2022"/>
    <d v="2022-01-27T00:00:00"/>
    <n v="463146394"/>
    <s v="STATON SAS"/>
    <m/>
    <n v="770606"/>
    <m/>
    <m/>
    <s v="2021-375"/>
    <s v="20 de diciembre 2021"/>
    <m/>
    <s v="BOGOTA"/>
    <s v="NACIONAL"/>
    <m/>
    <n v="1.661085927008495E-3"/>
    <n v="0"/>
    <n v="1"/>
    <n v="16"/>
  </r>
  <r>
    <n v="38"/>
    <s v="0038"/>
    <x v="5"/>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x v="16"/>
    <d v="2022-01-17T00:00:00"/>
    <m/>
    <m/>
    <m/>
    <s v="Entregado al area"/>
    <x v="1"/>
    <s v="21 DE ENERO EN REVISION DE LA COTIZACIONES_x000a_24 DE ENERO SE RECIBEN COTIZACIONES_x000a_26 DE ENERO EN ELABORACION DE LA  EVALUACION _x000a_28 de enero en revision de evaluacion"/>
    <m/>
    <d v="2022-02-08T00:00:00"/>
    <s v="Jan"/>
    <m/>
    <n v="25"/>
    <n v="22"/>
    <s v="G"/>
    <s v="FUNCIONAMIENTO"/>
    <s v="800-AO-1468-2022"/>
    <d v="2022-01-26T00:00:00"/>
    <n v="323631500"/>
    <s v="UNIDAD DE SALUD OCUPACIONAL SAS"/>
    <m/>
    <n v="0"/>
    <m/>
    <m/>
    <s v="N/A"/>
    <s v="N/A"/>
    <m/>
    <s v="CALI"/>
    <s v="LOCAL"/>
    <m/>
    <n v="0"/>
    <n v="0"/>
    <n v="1"/>
    <n v="17"/>
  </r>
  <r>
    <n v="39"/>
    <s v="0039"/>
    <x v="5"/>
    <d v="2022-01-14T00:00:00"/>
    <x v="1"/>
    <s v="GHA0216"/>
    <s v="FR-800-GAGHA-0094-2022"/>
    <s v="N/A"/>
    <s v="Compra de articulos de papelería (cajas de archivo No 12) para las dependencias de EMCALI EICE ESP."/>
    <n v="23902221"/>
    <s v="15 de marzo 2022"/>
    <s v="900-IP-0076-2022"/>
    <m/>
    <n v="202201123"/>
    <n v="23920000"/>
    <s v="N/A"/>
    <s v="N/A"/>
    <m/>
    <x v="2"/>
    <x v="16"/>
    <d v="2022-01-17T00:00:00"/>
    <m/>
    <m/>
    <m/>
    <s v="Entregado al area"/>
    <x v="1"/>
    <s v="21 DE ENERO EN REVISION DE LA INVITACION_x000a_24 DE ENERO EN RECEPCION DE OFERTAS_x000a_26 DE ENERO EN APROBACION DE POLIZAS_x000a_28 de enero entregado al area"/>
    <m/>
    <d v="2022-01-27T00:00:00"/>
    <s v="Jan"/>
    <m/>
    <n v="13"/>
    <n v="10"/>
    <s v="G"/>
    <s v="FUNCIONAMIENTO"/>
    <s v="800-AO-1041-2022"/>
    <d v="2022-01-24T00:00:00"/>
    <n v="23319240"/>
    <s v="AS DISTRIBUCION INSTITUCIONAL SAS"/>
    <m/>
    <n v="582981"/>
    <m/>
    <m/>
    <s v="2022-015"/>
    <s v="7 de enero 2022"/>
    <m/>
    <s v="CALI"/>
    <s v="LOCAL"/>
    <m/>
    <n v="2.4390243902439025E-2"/>
    <n v="0"/>
    <n v="1"/>
    <n v="9"/>
  </r>
  <r>
    <n v="40"/>
    <s v="0040"/>
    <x v="5"/>
    <d v="2022-01-14T00:00:00"/>
    <x v="1"/>
    <s v="GHA0061"/>
    <s v="FR-800-GAGHA-0100-2022"/>
    <s v="N/A"/>
    <s v="Realizar toma de pruebas de alcohol, pruebas de sustancias psicoactivas y verificación de las pruebas."/>
    <n v="82946029"/>
    <s v="31 DE DICIEMBRE 2022"/>
    <s v="900-IP-0106-2021"/>
    <m/>
    <n v="202201167"/>
    <n v="83000000"/>
    <s v="N/A"/>
    <s v="N/A"/>
    <m/>
    <x v="2"/>
    <x v="12"/>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s v="Jan"/>
    <m/>
    <n v="27"/>
    <n v="22"/>
    <s v="G"/>
    <s v="FUNCIONAMIENTO"/>
    <s v="800-AO-1512-2022"/>
    <d v="2022-01-28T00:00:00"/>
    <n v="67030000"/>
    <s v="CEMSO SAS"/>
    <m/>
    <n v="15916029"/>
    <m/>
    <m/>
    <s v="N/A"/>
    <s v="N/A"/>
    <m/>
    <s v="CALI"/>
    <s v="LOCAL"/>
    <m/>
    <n v="0.19188415879438905"/>
    <n v="0"/>
    <n v="1"/>
    <n v="19"/>
  </r>
  <r>
    <n v="41"/>
    <s v="0041"/>
    <x v="5"/>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x v="13"/>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s v="Jan"/>
    <m/>
    <n v="25"/>
    <n v="20"/>
    <s v="G"/>
    <s v="FUNCIONAMIENTO"/>
    <s v="800-AO-1316-2022"/>
    <d v="2022-01-27T00:00:00"/>
    <n v="130598474"/>
    <s v="SERVICIOS TECNICOS E INGENIERIA (SETINGE LTDA)"/>
    <m/>
    <n v="0"/>
    <m/>
    <m/>
    <s v="2021-368"/>
    <d v="2021-12-14T00:00:00"/>
    <m/>
    <s v="BOGOTA"/>
    <s v="NACIONAL"/>
    <m/>
    <n v="0"/>
    <n v="0"/>
    <n v="1"/>
    <n v="17"/>
  </r>
  <r>
    <n v="42"/>
    <s v="0042"/>
    <x v="5"/>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x v="12"/>
    <d v="2022-01-19T00:00:00"/>
    <m/>
    <m/>
    <m/>
    <s v="Entregado al area"/>
    <x v="1"/>
    <s v="19 DE ENERO 2022 REASIGNARON EL PROCESO A MARIO AREVALO_x000a_21 DE ENERO EN COTIZACIONES_x000a_24 DE ENERO SE RECIBEN LAS COTIZACIONES_x000a_28 DE ENERO EN ELABORACION DE LA EVALUACION"/>
    <m/>
    <d v="2022-02-08T00:00:00"/>
    <s v="Jan"/>
    <m/>
    <n v="25"/>
    <n v="20"/>
    <s v="G"/>
    <s v="FUNCIONAMIENTO"/>
    <s v="800-AO-1513-2022"/>
    <d v="2022-01-28T00:00:00"/>
    <n v="376651270"/>
    <s v="INTERNATIONAL PETS LEANING SAS"/>
    <m/>
    <n v="24292134"/>
    <m/>
    <m/>
    <s v="N/A"/>
    <s v="N/A"/>
    <m/>
    <s v="CALI"/>
    <s v="LOCAL"/>
    <m/>
    <n v="6.0587438919434126E-2"/>
    <n v="0"/>
    <n v="1"/>
    <n v="17"/>
  </r>
  <r>
    <n v="43"/>
    <s v="0043"/>
    <x v="1"/>
    <d v="2022-01-17T00:00:00"/>
    <x v="1"/>
    <s v="GE0246"/>
    <s v="FR-500-GE-0117-2022"/>
    <s v="N/A"/>
    <s v="Suministro de radios de comunicación portatiles"/>
    <n v="338606884"/>
    <s v="60 dias"/>
    <s v="900-IP-0131-2022"/>
    <m/>
    <n v="202201685"/>
    <n v="394128000"/>
    <s v="N/A"/>
    <s v="N/A"/>
    <m/>
    <x v="2"/>
    <x v="7"/>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s v="Jan"/>
    <m/>
    <n v="22"/>
    <n v="18"/>
    <s v="G"/>
    <s v="FUNCIONAMIENTO"/>
    <s v="500-AO-1456-2022"/>
    <m/>
    <n v="335122981"/>
    <s v="RADIONET SOLUCIONES SA"/>
    <m/>
    <n v="3483903"/>
    <m/>
    <m/>
    <s v="2022-014"/>
    <d v="2022-01-07T00:00:00"/>
    <m/>
    <m/>
    <m/>
    <m/>
    <n v="1.0288931396917495E-2"/>
    <n v="1"/>
    <n v="1"/>
    <n v="16"/>
  </r>
  <r>
    <n v="44"/>
    <s v="0044"/>
    <x v="5"/>
    <d v="2022-01-18T00:00:00"/>
    <x v="1"/>
    <s v="GHA1600"/>
    <s v="FR-800-GAGHA-0095-2022"/>
    <s v="N/A"/>
    <s v="Jabon liquido espumoso para manos"/>
    <n v="199992024"/>
    <s v="30 de julio 2022"/>
    <s v="900-IP-0092-2022"/>
    <s v="IP-"/>
    <n v="202201122"/>
    <n v="200571511"/>
    <s v="N/A"/>
    <s v="N/A"/>
    <s v="N/A"/>
    <x v="2"/>
    <x v="11"/>
    <d v="2022-01-20T00:00:00"/>
    <e v="#VALUE!"/>
    <e v="#VALUE!"/>
    <s v="NO"/>
    <s v="Devuelto"/>
    <x v="2"/>
    <m/>
    <s v="24 DE ENERO SE ENVIO LA INVITACION A OFERTAR AL PROVEEDOR_x000a_27 DE ENERO SE DEVOLVIO AL AREA"/>
    <d v="2022-01-27T00:00:00"/>
    <m/>
    <s v="ene"/>
    <n v="9"/>
    <n v="7"/>
    <s v="G"/>
    <s v="FUNCIONAMIENTO"/>
    <m/>
    <m/>
    <m/>
    <m/>
    <m/>
    <n v="199992024"/>
    <m/>
    <m/>
    <m/>
    <m/>
    <m/>
    <m/>
    <m/>
    <m/>
    <m/>
    <n v="0"/>
    <m/>
    <m/>
  </r>
  <r>
    <n v="45"/>
    <s v="0045"/>
    <x v="1"/>
    <d v="2022-01-18T00:00:00"/>
    <x v="1"/>
    <s v="GE0307"/>
    <s v="FR-500-GE-0121-2022"/>
    <s v="N/A"/>
    <s v="Suministro de sello de seguridad"/>
    <n v="25456563"/>
    <s v="90 dias"/>
    <s v="900-IP-0109-2022"/>
    <m/>
    <n v="202201714"/>
    <n v="25456563"/>
    <s v="N/A"/>
    <s v="N/A"/>
    <m/>
    <x v="2"/>
    <x v="17"/>
    <d v="2022-01-20T00:00:00"/>
    <m/>
    <m/>
    <m/>
    <s v="Entregado al area"/>
    <x v="1"/>
    <s v="24 DE ENERO EN COTIZACIONES_x000a_26 de enero en revision de la fpa e invitacion_x000a_28 DE ENERO EN RECEPCION DE OFERTAS_x000a_EN REVISION DE LA EVALUACION"/>
    <m/>
    <d v="2022-02-14T00:00:00"/>
    <s v="Jan"/>
    <m/>
    <n v="27"/>
    <n v="25"/>
    <s v="G"/>
    <s v="FUNCIONAMIENTO"/>
    <s v="500-AO-1510-2022"/>
    <d v="2022-01-28T00:00:00"/>
    <n v="25456563"/>
    <s v="COMERCIO  INTERNACIONAL CONTENEDORES Y TRANSPORTE  SOCIEDAD  POR  ACCIONES SIMPLIFICADA"/>
    <m/>
    <n v="0"/>
    <m/>
    <m/>
    <s v="2022-023"/>
    <d v="2022-01-13T00:00:00"/>
    <m/>
    <s v="BOGOTA"/>
    <s v="NACIONAL"/>
    <m/>
    <n v="0"/>
    <n v="1"/>
    <n v="1"/>
    <n v="19"/>
  </r>
  <r>
    <n v="46"/>
    <s v="0046"/>
    <x v="1"/>
    <d v="2022-01-18T00:00:00"/>
    <x v="1"/>
    <s v="GE0278"/>
    <s v="FR-500-GE-0107-2022"/>
    <s v="N/A"/>
    <s v="Suministro de cajas hermeticas"/>
    <n v="157107757"/>
    <s v="90 dias"/>
    <s v="900-IP-0130-2022"/>
    <m/>
    <n v="202201142"/>
    <n v="309427468"/>
    <s v="N/A"/>
    <s v="N/A"/>
    <m/>
    <x v="2"/>
    <x v="7"/>
    <d v="2022-01-21T00:00:00"/>
    <m/>
    <m/>
    <m/>
    <s v="Entregado al area"/>
    <x v="1"/>
    <s v="21 de enero en solicitud de conceptos_x000a_24 de enero en recepcion de cotizaciones_x000a_26 de enero en aceptacion_x000a_esperando revision de la aceptacion"/>
    <m/>
    <d v="2022-02-11T00:00:00"/>
    <s v="Jan"/>
    <m/>
    <n v="24"/>
    <n v="21"/>
    <s v="G"/>
    <s v="INVERSION"/>
    <s v="500-AO-1472-2022"/>
    <d v="2022-01-28T00:00:00"/>
    <n v="157107757"/>
    <s v="SOCIEDAD INDUSTRIAL METAL ELECTRICA SAS"/>
    <m/>
    <n v="0"/>
    <m/>
    <m/>
    <s v="2021-385"/>
    <d v="2021-12-30T00:00:00"/>
    <m/>
    <s v="MEDELLIN "/>
    <s v="NACIONAL"/>
    <m/>
    <n v="0"/>
    <n v="1"/>
    <n v="1"/>
    <n v="18"/>
  </r>
  <r>
    <n v="47"/>
    <s v="0047"/>
    <x v="1"/>
    <d v="2022-01-18T00:00:00"/>
    <x v="1"/>
    <s v="GE0204"/>
    <s v="FR-500-GE-0108-2022"/>
    <s v="N/A"/>
    <s v="Suministro de modems 4G"/>
    <n v="398453055"/>
    <s v="90 dias"/>
    <s v="900-IP-0129-2022"/>
    <m/>
    <n v="202201141"/>
    <n v="398453055"/>
    <s v="N/A"/>
    <s v="N/A"/>
    <m/>
    <x v="2"/>
    <x v="7"/>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s v="Jan"/>
    <m/>
    <n v="20"/>
    <n v="17"/>
    <s v="G"/>
    <s v="FUNCIONAMIENTO"/>
    <s v="500-AO-1365-2022"/>
    <d v="2022-01-27T00:00:00"/>
    <n v="398453055"/>
    <s v="INDUSTRIA ELECTRICA DEL CAUCA SAS"/>
    <m/>
    <n v="0"/>
    <m/>
    <m/>
    <s v="2022-004"/>
    <d v="2022-01-05T00:00:00"/>
    <m/>
    <s v="YUMBO "/>
    <s v="MUNICIPAL"/>
    <m/>
    <n v="0"/>
    <n v="1"/>
    <n v="1"/>
    <n v="14"/>
  </r>
  <r>
    <n v="48"/>
    <s v="0048"/>
    <x v="1"/>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x v="18"/>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s v="Jan"/>
    <m/>
    <n v="22"/>
    <n v="20"/>
    <s v="G"/>
    <s v="FUNCIONAMIENTO"/>
    <s v="500-AO-1428-2022"/>
    <d v="2022-01-28T00:00:00"/>
    <n v="3001775"/>
    <s v="CONAMET SAS"/>
    <m/>
    <n v="0"/>
    <m/>
    <m/>
    <s v="N/A"/>
    <s v="N/A"/>
    <m/>
    <s v="BOGOTA"/>
    <s v="NACIONAL"/>
    <m/>
    <n v="0"/>
    <n v="1"/>
    <n v="1"/>
    <n v="16"/>
  </r>
  <r>
    <n v="49"/>
    <s v="0049"/>
    <x v="1"/>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x v="18"/>
    <d v="2022-01-20T00:00:00"/>
    <m/>
    <m/>
    <m/>
    <s v="Entregado al area"/>
    <x v="1"/>
    <s v="21 de enero en solicitud de conceptos_x000a_24 DE ENERO EN REVISION DE FPA E INVITACION_x000a_26 DE ENERO EN REVISION DE LA EVALUACION_x000a_28 de enero en solicitud de polizas y rp"/>
    <m/>
    <d v="2022-02-09T00:00:00"/>
    <s v="Jan"/>
    <m/>
    <n v="22"/>
    <n v="20"/>
    <s v="G"/>
    <s v="FUNCIONAMIENTO"/>
    <s v="500-AO-1341-2022"/>
    <d v="2022-01-27T00:00:00"/>
    <n v="5584670"/>
    <s v="MESURA Y METROLOGIA LTDA"/>
    <m/>
    <n v="0"/>
    <m/>
    <m/>
    <s v="N/A"/>
    <s v="N/A"/>
    <m/>
    <s v="CALI"/>
    <s v="LOCAL"/>
    <m/>
    <n v="0"/>
    <n v="1"/>
    <n v="1"/>
    <n v="16"/>
  </r>
  <r>
    <n v="50"/>
    <s v="0050"/>
    <x v="1"/>
    <d v="2022-01-18T00:00:00"/>
    <x v="1"/>
    <s v="GE0302"/>
    <s v="FR-500-GE-0114-2022"/>
    <s v="N/A"/>
    <s v="Mnatenimiento a equipos de Calibración"/>
    <n v="13119750"/>
    <s v="60 dias"/>
    <s v="900-IP-0117-2022"/>
    <m/>
    <n v="202201682"/>
    <n v="13119750"/>
    <s v="N/A"/>
    <s v="N/A"/>
    <m/>
    <x v="2"/>
    <x v="18"/>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s v="Jan"/>
    <m/>
    <n v="21"/>
    <n v="19"/>
    <s v="G"/>
    <s v="FUNCIONAMIENTO"/>
    <s v="500-AO-1375-2022"/>
    <d v="2022-01-27T00:00:00"/>
    <n v="13119750"/>
    <s v="MESSEN SAS"/>
    <m/>
    <n v="0"/>
    <m/>
    <m/>
    <s v="N/A"/>
    <s v="N/A"/>
    <m/>
    <s v="BOGOTA"/>
    <s v="NACIONAL"/>
    <m/>
    <n v="0"/>
    <n v="1"/>
    <n v="1"/>
    <n v="15"/>
  </r>
  <r>
    <n v="51"/>
    <s v="0051"/>
    <x v="1"/>
    <d v="2022-01-18T00:00:00"/>
    <x v="1"/>
    <s v="GE0303"/>
    <s v="FR-500-GE-0115-2022"/>
    <s v="N/A"/>
    <s v="Calibración de Instrumentos y Equipos de Laboratorio"/>
    <n v="40712800"/>
    <s v="15 de diciembre 2022"/>
    <s v="900-IP-0107-2022"/>
    <s v="IP-"/>
    <n v="202201683"/>
    <n v="40721800"/>
    <s v="N/A"/>
    <s v="N/A"/>
    <s v="N/A"/>
    <x v="2"/>
    <x v="17"/>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m/>
    <s v="ene"/>
    <n v="10"/>
    <n v="8"/>
    <s v="G"/>
    <s v="FUNCIONAMIENTO"/>
    <m/>
    <m/>
    <m/>
    <m/>
    <m/>
    <n v="40712800"/>
    <m/>
    <m/>
    <m/>
    <m/>
    <m/>
    <m/>
    <m/>
    <m/>
    <m/>
    <n v="1"/>
    <m/>
    <m/>
  </r>
  <r>
    <n v="52"/>
    <s v="0052"/>
    <x v="1"/>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x v="17"/>
    <d v="2022-01-20T00:00:00"/>
    <e v="#VALUE!"/>
    <e v="#VALUE!"/>
    <s v="NO"/>
    <s v="Devuelto"/>
    <x v="2"/>
    <m/>
    <s v="24 DE ENERO EN COTIZACIONES_x000a_26 de enero el proveedor no ha enviado la cotizacion_x000a_28 DE ENERO EN COTIZACIONES NO SE HA RECIBIDO RESPUES DEL PROVEEDOR"/>
    <d v="2022-01-28T00:00:00"/>
    <m/>
    <s v="ene"/>
    <n v="10"/>
    <n v="8"/>
    <s v="G"/>
    <s v="FUNCIONAMIENTO"/>
    <m/>
    <m/>
    <m/>
    <m/>
    <m/>
    <n v="62492850"/>
    <m/>
    <m/>
    <m/>
    <m/>
    <m/>
    <m/>
    <m/>
    <m/>
    <m/>
    <n v="1"/>
    <m/>
    <m/>
  </r>
  <r>
    <n v="53"/>
    <s v="0053"/>
    <x v="1"/>
    <d v="2022-01-18T00:00:00"/>
    <x v="1"/>
    <s v="GE0309"/>
    <s v="FR-500-GE-0126-2022"/>
    <s v="N/A"/>
    <s v="Suministro de cajas metalicas para medidores"/>
    <n v="31318283"/>
    <s v="90 dias"/>
    <s v="900-IP-0119-2022"/>
    <m/>
    <n v="202200904"/>
    <n v="31318283"/>
    <s v="N/A"/>
    <s v="N/A"/>
    <m/>
    <x v="2"/>
    <x v="18"/>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s v="Jan"/>
    <m/>
    <n v="24"/>
    <n v="22"/>
    <s v="G"/>
    <s v="FUNCIONAMIENTO"/>
    <s v="500-AO-1521-2022"/>
    <d v="2022-01-28T00:00:00"/>
    <n v="31318283"/>
    <s v="INDUSTRIAS REBRA SAS"/>
    <m/>
    <n v="0"/>
    <m/>
    <m/>
    <s v="N/A"/>
    <s v="N/A"/>
    <m/>
    <s v="YUMBO"/>
    <s v="REGIONAL"/>
    <m/>
    <n v="0"/>
    <n v="1"/>
    <n v="1"/>
    <n v="18"/>
  </r>
  <r>
    <n v="54"/>
    <s v="0054"/>
    <x v="1"/>
    <d v="2022-01-18T00:00:00"/>
    <x v="1"/>
    <s v="GE0236"/>
    <s v="FR-500-GE-0125-2022"/>
    <s v="N/A"/>
    <s v="Suministro de cajas Policarbonato"/>
    <n v="48788215"/>
    <s v="90 dias"/>
    <s v="900-IP-0110-2022"/>
    <m/>
    <n v="202201938"/>
    <n v="48788215"/>
    <s v="N/A"/>
    <s v="N/A"/>
    <m/>
    <x v="2"/>
    <x v="17"/>
    <d v="2022-01-20T00:00:00"/>
    <m/>
    <m/>
    <m/>
    <s v="Entregado al area"/>
    <x v="1"/>
    <s v="24 DE ENERO EN COTIZACIONES_x000a_26 de enero en elaboracion de fpa e invitacion_x000a_28 DE ENERO EN RECEPCION DE OFERTAS"/>
    <m/>
    <d v="2022-02-10T00:00:00"/>
    <s v="Jan"/>
    <m/>
    <n v="23"/>
    <n v="21"/>
    <s v="G"/>
    <s v="FUNCIONAMIENTO"/>
    <s v="500-AO-1511-2022"/>
    <d v="2022-01-28T00:00:00"/>
    <n v="48788215"/>
    <s v="COMPAC SAS"/>
    <m/>
    <n v="0"/>
    <m/>
    <m/>
    <s v="2022-025"/>
    <d v="2022-01-13T00:00:00"/>
    <m/>
    <s v="BOGOTA"/>
    <s v="NACIONAL"/>
    <m/>
    <n v="0"/>
    <n v="1"/>
    <n v="1"/>
    <n v="17"/>
  </r>
  <r>
    <n v="55"/>
    <s v="0055"/>
    <x v="1"/>
    <d v="2022-01-18T00:00:00"/>
    <x v="1"/>
    <s v="GE0201"/>
    <s v="FR-500-GE-0119-2022"/>
    <s v="N/A"/>
    <s v="Suministro sellos de bornera para medidor de energía"/>
    <n v="8407493"/>
    <s v="1 mes"/>
    <s v="900-IP-0118-2022"/>
    <m/>
    <n v="202201115"/>
    <n v="8407493"/>
    <s v="N/A"/>
    <s v="N/A"/>
    <m/>
    <x v="2"/>
    <x v="18"/>
    <d v="2022-01-20T00:00:00"/>
    <m/>
    <m/>
    <m/>
    <s v="Entregado al area"/>
    <x v="1"/>
    <s v="21 de enero en solicitud de conceptos_x000a_24 DE ENERO EN COTIZACIONES_x000a_26 DE ENERO EN RECECION DE OFERTAS_x000a_EN SOLICITUD DE REGISTRO Y POLIZAS"/>
    <m/>
    <d v="2022-02-11T00:00:00"/>
    <s v="Jan"/>
    <m/>
    <n v="24"/>
    <n v="22"/>
    <s v="G"/>
    <s v="FUNCIONAMIENTO"/>
    <s v="500-AO-1374-2022"/>
    <d v="2022-01-27T00:00:00"/>
    <n v="8407493"/>
    <s v="NORMARH SAS"/>
    <m/>
    <n v="0"/>
    <m/>
    <m/>
    <s v="2021-388"/>
    <d v="2022-01-06T00:00:00"/>
    <m/>
    <s v="PEREIRA"/>
    <s v="NACIONAL"/>
    <m/>
    <n v="0"/>
    <n v="1"/>
    <n v="1"/>
    <n v="18"/>
  </r>
  <r>
    <n v="56"/>
    <s v="0056"/>
    <x v="2"/>
    <d v="2022-01-18T00:00:00"/>
    <x v="1"/>
    <s v="GAA0350"/>
    <s v="FR-300-GAA-0007-2022"/>
    <s v="N/A"/>
    <s v="Mantenimiento de Plotter, consecución de repuestos originales e insumos para el correcto funcionamiento del mismo."/>
    <n v="8000000"/>
    <s v="6 meses"/>
    <s v="900-IP-0123-2022"/>
    <m/>
    <n v="202200909"/>
    <n v="8000000"/>
    <s v="N/A"/>
    <s v="N/A"/>
    <m/>
    <x v="2"/>
    <x v="19"/>
    <d v="2022-01-21T00:00:00"/>
    <m/>
    <m/>
    <m/>
    <s v="Entregado al area"/>
    <x v="1"/>
    <s v="24 DE ENERO EN COTIZACIONES_x000a_26 DE ENERO EN ELABORACION DE LA EVALUACION_x000a_28 de enero en espera de numeracion de la aceptacion"/>
    <m/>
    <d v="2022-02-13T00:00:00"/>
    <s v="Jan"/>
    <m/>
    <n v="26"/>
    <n v="23"/>
    <s v="G"/>
    <s v="FUNCIONAMIENTO"/>
    <s v="300-AO-1420-2022"/>
    <d v="2022-01-27T00:00:00"/>
    <n v="8000000"/>
    <s v="JARVITH ALONSO QUINTERO"/>
    <m/>
    <n v="0"/>
    <m/>
    <m/>
    <s v="N/A"/>
    <s v="N/A"/>
    <m/>
    <s v="CALI"/>
    <s v="LOCAL"/>
    <m/>
    <n v="0"/>
    <n v="1"/>
    <n v="1"/>
    <n v="18"/>
  </r>
  <r>
    <n v="57"/>
    <s v="0057"/>
    <x v="2"/>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x v="20"/>
    <d v="2022-01-20T00:00:00"/>
    <m/>
    <m/>
    <m/>
    <s v="Entregado al area"/>
    <x v="1"/>
    <s v="21 de enero en revisionde la invitacion por parte de la jefe"/>
    <m/>
    <d v="2022-02-08T00:00:00"/>
    <s v="Feb"/>
    <m/>
    <n v="21"/>
    <n v="19"/>
    <s v="N/A"/>
    <s v="OPERACIÓN"/>
    <s v="300-CMA-1241-2020/300-AO-1371-2022"/>
    <d v="2022-01-26T00:00:00"/>
    <n v="298130016"/>
    <s v="SULFOQUIMICA SA"/>
    <m/>
    <n v="335732"/>
    <m/>
    <m/>
    <s v="2022-031"/>
    <d v="2022-01-17T00:00:00"/>
    <m/>
    <s v="ITAGUI"/>
    <s v="NACIONAL"/>
    <m/>
    <n v="1.1248593925759281E-3"/>
    <n v="1"/>
    <n v="0"/>
    <n v="21"/>
  </r>
  <r>
    <n v="58"/>
    <s v="0058"/>
    <x v="2"/>
    <d v="2022-01-18T00:00:00"/>
    <x v="1"/>
    <s v="GAA0218"/>
    <s v="FR-300-GAA-0026-2022"/>
    <s v="300-CMA-1243-2020"/>
    <s v="Suministro de Cloro, para ser utilizado en el Tratamiento de Agua Potable para consumo humano."/>
    <n v="1181777325"/>
    <s v="75 dias"/>
    <s v="N/A"/>
    <m/>
    <n v="202200895"/>
    <n v="1406325281"/>
    <s v="N/A"/>
    <s v="N/A"/>
    <m/>
    <x v="1"/>
    <x v="15"/>
    <d v="2022-01-20T00:00:00"/>
    <m/>
    <m/>
    <m/>
    <s v="Entregado al area"/>
    <x v="1"/>
    <m/>
    <m/>
    <d v="2022-02-08T00:00:00"/>
    <s v="Feb"/>
    <m/>
    <n v="21"/>
    <n v="19"/>
    <s v="N/A"/>
    <s v="OPERACIÓN"/>
    <s v="300-CMA-1243-2020/300-AO-1372-2022"/>
    <d v="2022-01-27T00:00:00"/>
    <n v="1181118035"/>
    <s v="QUIMPAC DE COLOMBIA SA"/>
    <m/>
    <n v="659290"/>
    <m/>
    <m/>
    <s v="2022-034"/>
    <d v="2022-01-17T00:00:00"/>
    <m/>
    <s v="YUMBO"/>
    <s v="MUNICIPAL"/>
    <m/>
    <n v="5.5788005578800558E-4"/>
    <n v="1"/>
    <n v="0"/>
    <n v="21"/>
  </r>
  <r>
    <n v="59"/>
    <s v="0059"/>
    <x v="2"/>
    <d v="2022-01-18T00:00:00"/>
    <x v="1"/>
    <s v="GAA0217"/>
    <s v="FR-300-GAA-0027-2022"/>
    <s v="300-CMA-1243-2020"/>
    <s v="Suministro de Hidróxido de Sodio para ser utilizado en el Tratamiento de Agua Potable para consumo humano."/>
    <n v="46963851"/>
    <s v="10 dias"/>
    <s v="N/A"/>
    <m/>
    <n v="202200901"/>
    <n v="55891920"/>
    <s v="N/A"/>
    <s v="N/A"/>
    <m/>
    <x v="1"/>
    <x v="15"/>
    <d v="2022-01-20T00:00:00"/>
    <m/>
    <m/>
    <m/>
    <s v="Entregado al area"/>
    <x v="1"/>
    <m/>
    <m/>
    <d v="2022-02-09T00:00:00"/>
    <s v="Feb"/>
    <m/>
    <n v="22"/>
    <n v="20"/>
    <s v="N/A"/>
    <s v="OPERACIÓN"/>
    <s v="300-CMA-1243-2020/300-AO-1373-2022"/>
    <d v="2022-01-27T00:00:00"/>
    <n v="46939530"/>
    <s v="QUIMPAC DE COLOMBIA SA"/>
    <m/>
    <n v="24321"/>
    <m/>
    <m/>
    <s v="2022-030"/>
    <d v="2022-01-17T00:00:00"/>
    <m/>
    <s v="CALI"/>
    <s v="LOCAL"/>
    <m/>
    <n v="5.1786639047125837E-4"/>
    <n v="1"/>
    <n v="0"/>
    <n v="22"/>
  </r>
  <r>
    <n v="60"/>
    <s v="0060"/>
    <x v="2"/>
    <d v="2022-01-18T00:00:00"/>
    <x v="1"/>
    <s v="GAA0223"/>
    <s v="FR-300-GAA-0028-2022"/>
    <s v="300-CMA-1245-2020"/>
    <s v="Suministro de Coagulante para ser utilizado en el Tratamiento de Agua Potable para consumo humano"/>
    <n v="1504140966"/>
    <s v="74 dias"/>
    <s v="N/A"/>
    <m/>
    <n v="202200900"/>
    <n v="1526456138"/>
    <s v="N/A"/>
    <s v="N/A"/>
    <m/>
    <x v="1"/>
    <x v="15"/>
    <d v="2022-01-20T00:00:00"/>
    <e v="#REF!"/>
    <e v="#REF!"/>
    <s v="SI"/>
    <s v="Entregado al area"/>
    <x v="1"/>
    <m/>
    <m/>
    <d v="2022-02-14T00:00:00"/>
    <s v="Mar"/>
    <m/>
    <n v="27"/>
    <n v="25"/>
    <s v="N/A"/>
    <s v="FUNCIONAMIENTO"/>
    <s v="300-CMA-1245-2020/300-AO-1616-2022"/>
    <d v="2022-01-28T00:00:00"/>
    <n v="1282734965.3999999"/>
    <s v="SULFOQUIMICA SA"/>
    <m/>
    <n v="221406000.60000014"/>
    <m/>
    <m/>
    <s v="2022-032"/>
    <d v="2022-01-17T00:00:00"/>
    <m/>
    <s v="YUMBO"/>
    <s v="MUNICIPAL"/>
    <m/>
    <n v="0.14719764011799419"/>
    <n v="1"/>
    <n v="0"/>
    <n v="27"/>
  </r>
  <r>
    <n v="61"/>
    <s v="0061"/>
    <x v="2"/>
    <d v="2022-01-18T00:00:00"/>
    <x v="1"/>
    <s v="GAA0221"/>
    <s v="FR-300-GAA-0029-2022"/>
    <s v="300-CMA-1246-2020"/>
    <s v="Suministro de Coagulante para las Plantas Rio Cauca, Rio Cali, La Reforma y La Rivera: Hidroxicloruro de Aluminio."/>
    <n v="766147800"/>
    <s v="70 dias"/>
    <s v="N/A"/>
    <m/>
    <n v="202200898"/>
    <n v="796239234"/>
    <s v="N/A"/>
    <s v="N/A"/>
    <m/>
    <x v="1"/>
    <x v="15"/>
    <d v="2022-01-20T00:00:00"/>
    <e v="#REF!"/>
    <e v="#REF!"/>
    <s v="SI"/>
    <s v="Entregado al area"/>
    <x v="1"/>
    <s v="8 DE MARZO ENTREGADO AL AREA"/>
    <m/>
    <d v="2022-03-08T00:00:00"/>
    <s v="Mar"/>
    <m/>
    <n v="49"/>
    <n v="47"/>
    <s v="N/A"/>
    <s v="FUNCIONAMIENTO"/>
    <s v="300-CMA-1246-2020/300-AO-1672-2022"/>
    <d v="2022-02-08T00:00:00"/>
    <n v="669060200"/>
    <s v="QUIMPAC DE COLOMBIA SA"/>
    <m/>
    <n v="97087600"/>
    <m/>
    <m/>
    <s v="2022-029"/>
    <d v="2022-01-17T00:00:00"/>
    <m/>
    <s v="YUMBO "/>
    <s v="MUNICIPAL"/>
    <m/>
    <n v="0.12672176308539945"/>
    <n v="1"/>
    <n v="0"/>
    <n v="49"/>
  </r>
  <r>
    <n v="62"/>
    <s v="0062"/>
    <x v="7"/>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x v="2"/>
    <d v="2022-01-20T00:00:00"/>
    <m/>
    <m/>
    <m/>
    <s v="Entregado al area"/>
    <x v="1"/>
    <s v="21 de enero en cotizaciones_x000a_24 DE ENERO EN INVITACION A OFERTAR_x000a_26 de enero en revision de la evaluacion _x000a_27 de enero en rp y polizas"/>
    <m/>
    <d v="2022-02-03T00:00:00"/>
    <s v="Jan"/>
    <m/>
    <n v="16"/>
    <n v="14"/>
    <s v="G"/>
    <s v="FUNCIONAMIENTO"/>
    <s v="100-AO-1328-2022"/>
    <d v="2022-01-27T00:00:00"/>
    <n v="84605611"/>
    <s v="UNION TEMPORAL SERVIECOLOGICO"/>
    <m/>
    <n v="0"/>
    <m/>
    <m/>
    <s v="N/A"/>
    <s v="N/A"/>
    <m/>
    <s v="CALI"/>
    <s v="LOCAL"/>
    <m/>
    <n v="0"/>
    <n v="0"/>
    <n v="1"/>
    <n v="12"/>
  </r>
  <r>
    <n v="63"/>
    <s v="0063"/>
    <x v="2"/>
    <d v="2022-01-18T00:00:00"/>
    <x v="1"/>
    <s v="GAA0176"/>
    <s v="FR-300-GAA-0013-2022"/>
    <s v="N/A"/>
    <s v="Restauración losas canal interceptor Sur."/>
    <n v="197295959"/>
    <s v="6 meses"/>
    <s v="900-IP-0095-2022"/>
    <m/>
    <n v="202201926"/>
    <n v="200000000"/>
    <s v="N/A"/>
    <s v="N/A"/>
    <m/>
    <x v="2"/>
    <x v="2"/>
    <d v="2022-01-20T00:00:00"/>
    <m/>
    <m/>
    <m/>
    <s v="Entregado al area"/>
    <x v="1"/>
    <s v="21 de enero en cotizaciones_x000a_24 DE ENERO EN INVITACION A OFERTAR_x000a_26 de enero en revision de la evaluacion _x000a_27 de enero en rp y polizas"/>
    <m/>
    <d v="2022-02-07T00:00:00"/>
    <s v="Jan"/>
    <m/>
    <n v="20"/>
    <n v="18"/>
    <s v="G"/>
    <s v="INVERSION"/>
    <s v="300-AO-1330-2022"/>
    <d v="2022-01-27T00:00:00"/>
    <n v="194860197"/>
    <s v="PROYECTOS Y CONSTRUCCIONES DEL PACIFICO SAS"/>
    <m/>
    <n v="2435762"/>
    <m/>
    <m/>
    <s v="N/A"/>
    <s v="N/A"/>
    <m/>
    <s v="BUENAVENTURA"/>
    <s v="REGIONAL"/>
    <m/>
    <n v="1.2345726756623536E-2"/>
    <n v="1"/>
    <n v="1"/>
    <n v="14"/>
  </r>
  <r>
    <n v="64"/>
    <s v="0064"/>
    <x v="2"/>
    <d v="2022-01-18T00:00:00"/>
    <x v="1"/>
    <s v="GAA0628"/>
    <s v="FR-300-GAA-0014-2022"/>
    <s v="N/A"/>
    <s v="Reposición redes alcantarillado barrio Comuneros I"/>
    <n v="363128044"/>
    <s v="6 meses"/>
    <s v="900-IP-0086-2022"/>
    <m/>
    <n v="202201918"/>
    <n v="365000000"/>
    <s v="N/A"/>
    <s v="N/A"/>
    <m/>
    <x v="2"/>
    <x v="4"/>
    <d v="2022-01-20T00:00:00"/>
    <m/>
    <m/>
    <m/>
    <s v="Entregado al area"/>
    <x v="1"/>
    <s v="21 DE ENERO EN REVISION DE LA FPA E INVITACION_x000a_24 de enero en invitacion a ofertar_x000a_26 de enero en aceptacion_x000a_27 de enero en solicitud de polizas y rp"/>
    <m/>
    <d v="2022-02-08T00:00:00"/>
    <s v="Jan"/>
    <m/>
    <n v="21"/>
    <n v="19"/>
    <s v="G"/>
    <s v="INVERSION"/>
    <s v="300-AO-1311-2022"/>
    <d v="2022-01-27T00:00:00"/>
    <n v="362715477"/>
    <s v="JAIRO MARTIN VARGAS DIAZ"/>
    <m/>
    <n v="412567"/>
    <m/>
    <m/>
    <s v="N/A"/>
    <s v="N/A"/>
    <m/>
    <s v="CALI"/>
    <s v="CALI"/>
    <m/>
    <n v="1.1361474466565849E-3"/>
    <n v="1"/>
    <n v="1"/>
    <n v="15"/>
  </r>
  <r>
    <n v="65"/>
    <s v="0065"/>
    <x v="2"/>
    <d v="2022-01-18T00:00:00"/>
    <x v="1"/>
    <s v="GAA0162"/>
    <s v="FR-300-GAA-0015-2022"/>
    <s v="N/A"/>
    <s v="Reposición redes alcantarillado barrio Andres Sanin"/>
    <n v="490449035"/>
    <s v="6 meses"/>
    <s v="900-IP-0102-2022"/>
    <m/>
    <n v="202201917"/>
    <n v="495000000"/>
    <s v="N/A"/>
    <s v="N/A"/>
    <m/>
    <x v="2"/>
    <x v="1"/>
    <d v="2022-01-20T00:00:00"/>
    <m/>
    <m/>
    <m/>
    <s v="Entregado al area"/>
    <x v="1"/>
    <s v="21 de enero en cotizaciones _x000a_24 DE ENERO EN REVISION DE LA FPA_x000a_26 DE ENERO EN REVISION DE LA EVALUACION_x000a_27 de enero en solicitud de polizas y registro presupuestal"/>
    <m/>
    <d v="2022-02-03T00:00:00"/>
    <s v="Jan"/>
    <m/>
    <n v="16"/>
    <n v="14"/>
    <s v="G"/>
    <s v="INVERSION"/>
    <s v="300-AO-1336-2022"/>
    <d v="2022-01-27T00:00:00"/>
    <n v="490449033"/>
    <s v="AYAPAC CONSTRUCCIONES SAS"/>
    <m/>
    <n v="2"/>
    <m/>
    <m/>
    <s v="N/A"/>
    <s v="N/A"/>
    <m/>
    <s v="CALI"/>
    <s v="LOCAL"/>
    <m/>
    <n v="4.0778956777843392E-9"/>
    <n v="1"/>
    <n v="1"/>
    <n v="12"/>
  </r>
  <r>
    <n v="66"/>
    <s v="0066"/>
    <x v="2"/>
    <d v="2022-01-18T00:00:00"/>
    <x v="1"/>
    <s v="GAA0633"/>
    <s v="FR-300-GAA-0016-2022"/>
    <s v="N/A"/>
    <s v="Reposición redes alcantarillado barrio Napoles"/>
    <n v="304533212"/>
    <s v="6 meses"/>
    <s v="900-IP-0089-2022"/>
    <m/>
    <n v="202201927"/>
    <n v="310000000"/>
    <s v="N/A"/>
    <s v="N/A"/>
    <m/>
    <x v="2"/>
    <x v="4"/>
    <d v="2022-01-20T00:00:00"/>
    <m/>
    <m/>
    <m/>
    <s v="Entregado al area"/>
    <x v="1"/>
    <s v="24 de enero en invitacion a ofertar_x000a_26 de enero en aceptacion_x000a_27 de enero en solicitud de polizas y rp"/>
    <m/>
    <d v="2022-02-01T00:00:00"/>
    <s v="Jan"/>
    <m/>
    <n v="14"/>
    <n v="12"/>
    <s v="G"/>
    <s v="INVERSION"/>
    <s v="300-AO-1308-2022"/>
    <d v="2022-01-27T00:00:00"/>
    <n v="304164327"/>
    <s v="ODBI SAS"/>
    <m/>
    <n v="368885"/>
    <m/>
    <m/>
    <s v="N/A"/>
    <s v="N/A"/>
    <m/>
    <s v="PEREIRA"/>
    <s v="NACIONAL"/>
    <m/>
    <n v="1.2113128731588067E-3"/>
    <n v="1"/>
    <n v="1"/>
    <n v="10"/>
  </r>
  <r>
    <n v="67"/>
    <s v="0067"/>
    <x v="2"/>
    <d v="2022-01-18T00:00:00"/>
    <x v="1"/>
    <s v="GAA0630"/>
    <s v="FR-300-GAA-0017-2022"/>
    <s v="N/A"/>
    <s v="Reposición redes alcantarillado barrios La Fortaleza y Eucaristico"/>
    <n v="496893604"/>
    <s v="6 meses"/>
    <s v="900-IP-0100-2022"/>
    <m/>
    <n v="202201921"/>
    <n v="500000000"/>
    <s v="N/A"/>
    <s v="N/A"/>
    <m/>
    <x v="2"/>
    <x v="1"/>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s v="Jan"/>
    <m/>
    <n v="16"/>
    <n v="14"/>
    <s v="G"/>
    <s v="INVERSION"/>
    <s v="300-AO-1334-2022"/>
    <d v="2022-01-27T00:00:00"/>
    <n v="496741956"/>
    <s v="PONTIFEX SAS"/>
    <m/>
    <n v="151648"/>
    <m/>
    <m/>
    <s v="N/A"/>
    <s v="N/A"/>
    <m/>
    <s v="CALI"/>
    <s v="LOCAL"/>
    <m/>
    <n v="3.0519209500631849E-4"/>
    <n v="1"/>
    <n v="1"/>
    <n v="12"/>
  </r>
  <r>
    <n v="68"/>
    <s v="0068"/>
    <x v="2"/>
    <d v="2022-01-18T00:00:00"/>
    <x v="1"/>
    <s v="GAA0160"/>
    <s v="FR-300-GAA-0018-2022"/>
    <s v="N/A"/>
    <s v="Reposición redes alcantarillado barrio El Bosque."/>
    <n v="453531324"/>
    <s v="6 meses"/>
    <s v="900-IP-0096-2022"/>
    <m/>
    <n v="202201919"/>
    <n v="455000000"/>
    <s v="N/A"/>
    <s v="N/A"/>
    <m/>
    <x v="2"/>
    <x v="1"/>
    <d v="2022-01-20T00:00:00"/>
    <m/>
    <m/>
    <m/>
    <s v="Entregado al area"/>
    <x v="1"/>
    <s v="21 de enero en cotizaciones _x000a_24 DE ENERO EN ELABORACION DE LA FPA E INVITACION_x000a_26 DE ENERO EN RECEPCION DE OFERTAS_x000a_27 de enero en revision de la evaluacion"/>
    <m/>
    <d v="2022-02-16T00:00:00"/>
    <s v="Jan"/>
    <m/>
    <n v="29"/>
    <n v="27"/>
    <s v="G"/>
    <s v="INVERSION"/>
    <s v="300-AO-1422-2022"/>
    <d v="2022-01-27T00:00:00"/>
    <n v="453531324"/>
    <s v="4L INGENIERIA SAS"/>
    <m/>
    <n v="0"/>
    <m/>
    <m/>
    <s v="N/A"/>
    <s v="N/A"/>
    <m/>
    <s v="MONTERIA"/>
    <s v="NACIONAL"/>
    <m/>
    <n v="0"/>
    <n v="1"/>
    <n v="1"/>
    <n v="21"/>
  </r>
  <r>
    <n v="69"/>
    <s v="0069"/>
    <x v="2"/>
    <d v="2022-01-18T00:00:00"/>
    <x v="1"/>
    <s v="GAA0167"/>
    <s v="FR-300-GAA-0019-2022"/>
    <s v="N/A"/>
    <s v="Reposición redes tramos criticos sector La Campiña"/>
    <n v="285432098"/>
    <s v="6 meses"/>
    <s v="900-IP-0097-2022"/>
    <m/>
    <n v="202201923"/>
    <n v="290000000"/>
    <s v="N/A"/>
    <s v="N/A"/>
    <m/>
    <x v="2"/>
    <x v="2"/>
    <d v="2022-01-20T00:00:00"/>
    <m/>
    <m/>
    <m/>
    <s v="Entregado al area"/>
    <x v="1"/>
    <s v="21 de enero en cotizaciones_x000a_24 DE ENERO EN INVITACION A OFERTAR_x000a_26 de enero en revision de la evaluacion _x000a_27 de enero en rp y polizas_x000a_"/>
    <m/>
    <d v="2022-02-04T00:00:00"/>
    <s v="Jan"/>
    <m/>
    <n v="17"/>
    <n v="15"/>
    <s v="G"/>
    <s v="INVERSION"/>
    <s v="300-AO-1324-2022"/>
    <d v="2022-01-27T00:00:00"/>
    <n v="279679505"/>
    <s v="HABILIDADES ESATRUCTURALES EN INGENIERIA  LTDA"/>
    <m/>
    <n v="5752593"/>
    <m/>
    <m/>
    <s v="N/A"/>
    <s v="N/A"/>
    <m/>
    <s v="BUENAVENTURA"/>
    <s v="REGIONAL"/>
    <m/>
    <n v="2.0153980720136109E-2"/>
    <n v="1"/>
    <n v="1"/>
    <n v="13"/>
  </r>
  <r>
    <n v="70"/>
    <s v="0070"/>
    <x v="2"/>
    <d v="2022-01-18T00:00:00"/>
    <x v="1"/>
    <s v="GAA0632"/>
    <s v="FR-300-GAA-0021-2022"/>
    <s v="N/A"/>
    <s v="Reposición redes tramos criticos alcantarillado barrio La Selva"/>
    <n v="488005726"/>
    <s v="6 meses"/>
    <s v="900-IP-0088-2022"/>
    <m/>
    <n v="202201925"/>
    <n v="495000000"/>
    <s v="N/A"/>
    <s v="N/A"/>
    <m/>
    <x v="2"/>
    <x v="4"/>
    <d v="2022-01-20T00:00:00"/>
    <m/>
    <m/>
    <m/>
    <s v="Entregado al area"/>
    <x v="1"/>
    <s v="24 de enero en invitacion a ofertar_x000a_26 de enero en aceptacion_x000a_27 de enero en solicitud de polizas y rp_x000a_2 DE FEBRERO ENTREGADO AL AREA"/>
    <m/>
    <d v="2022-02-02T00:00:00"/>
    <s v="Jan"/>
    <m/>
    <n v="15"/>
    <n v="13"/>
    <s v="G"/>
    <s v="INVERSION"/>
    <s v="300-AO-1318-2022"/>
    <d v="2022-01-27T00:00:00"/>
    <n v="487965113"/>
    <s v="MARIA CAMILA GONZALEZ"/>
    <m/>
    <n v="40613"/>
    <m/>
    <m/>
    <s v="N/A"/>
    <s v="N/A"/>
    <m/>
    <s v="CALI"/>
    <s v="LOCAL"/>
    <m/>
    <n v="8.3222384157025239E-5"/>
    <n v="1"/>
    <n v="1"/>
    <n v="11"/>
  </r>
  <r>
    <n v="71"/>
    <s v="0071"/>
    <x v="2"/>
    <d v="2022-01-18T00:00:00"/>
    <x v="1"/>
    <s v="GAA0159"/>
    <s v="FR-300-GAA-0022-2022"/>
    <s v="N/A"/>
    <s v="Reposición redes de acueducto y alcantarillado barrio Fepicol"/>
    <n v="347380623"/>
    <s v="6 meses"/>
    <s v="900-IP-0087-2022"/>
    <m/>
    <n v="202201922"/>
    <m/>
    <s v="N/A"/>
    <s v="N/A"/>
    <m/>
    <x v="2"/>
    <x v="4"/>
    <d v="2022-01-20T00:00:00"/>
    <m/>
    <m/>
    <m/>
    <s v="Entregado al area"/>
    <x v="1"/>
    <s v="21 DE ENERO EN REVISION DE LA FPA E INVITACION_x000a_24 de enero en invitacion a ofertar_x000a_26 de enero en aceptacion_x000a_27 de enero en solicitud de polizas y rp"/>
    <m/>
    <d v="2022-02-07T00:00:00"/>
    <s v="Jan"/>
    <m/>
    <n v="20"/>
    <n v="18"/>
    <s v="G"/>
    <s v="INVERSION"/>
    <s v="300-AO-1310-2022"/>
    <d v="2022-01-27T00:00:00"/>
    <n v="346499915"/>
    <s v="GIRONZA LOZANO EDUARDO"/>
    <m/>
    <n v="880708"/>
    <m/>
    <m/>
    <s v="N/A"/>
    <s v="N/A"/>
    <m/>
    <s v="CALI"/>
    <s v="LOCAL"/>
    <m/>
    <n v="2.5352824587455474E-3"/>
    <n v="1"/>
    <n v="1"/>
    <n v="14"/>
  </r>
  <r>
    <n v="72"/>
    <s v="0072"/>
    <x v="2"/>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x v="1"/>
    <d v="2022-01-20T00:00:00"/>
    <m/>
    <m/>
    <m/>
    <s v="Entregado al area"/>
    <x v="1"/>
    <s v="21 de enero en cotizaciones _x000a_24 DE ENERO EN ELABORACION DE LA FPA E INVITACION_x000a_26 DE ENERO EN REVISION DE LA EVALUACION_x000a_27 de enero en solicitud de polizas y registro presupuestal"/>
    <m/>
    <d v="2022-02-03T00:00:00"/>
    <s v="Jan"/>
    <m/>
    <n v="14"/>
    <n v="14"/>
    <s v="G"/>
    <s v="INVERSION"/>
    <s v="300-AO-1335-2022"/>
    <d v="2022-01-27T00:00:00"/>
    <n v="243854800"/>
    <s v="ARMANDO LEON JIMENEZ"/>
    <m/>
    <n v="233421"/>
    <m/>
    <m/>
    <s v="N/A"/>
    <s v="N/A"/>
    <m/>
    <s v="CALI"/>
    <s v="LOCAL"/>
    <m/>
    <n v="9.5629768222203564E-4"/>
    <n v="1"/>
    <n v="1"/>
    <n v="10"/>
  </r>
  <r>
    <n v="73"/>
    <s v="0073"/>
    <x v="2"/>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x v="19"/>
    <d v="2022-01-21T00:00:00"/>
    <m/>
    <m/>
    <m/>
    <s v="Entregado al area"/>
    <x v="1"/>
    <s v="24 DE ENERO EN COTIZACIONES_x000a_26 de enero en revision de la fpa e invitacion_x000a_28 de enero en recepcion de ofertas"/>
    <m/>
    <d v="2022-02-15T00:00:00"/>
    <s v="Jan"/>
    <m/>
    <n v="26"/>
    <n v="25"/>
    <s v="G"/>
    <s v="FUNCIONAMIENTO"/>
    <s v="300-AO-1620-2022"/>
    <d v="2022-01-28T00:00:00"/>
    <n v="55499999"/>
    <s v="VE COLOMBIA SAS"/>
    <m/>
    <n v="0"/>
    <m/>
    <m/>
    <s v="N/A"/>
    <s v="N/A"/>
    <m/>
    <s v="MEDELLIN "/>
    <s v="NACIONAL"/>
    <m/>
    <n v="0"/>
    <n v="1"/>
    <n v="1"/>
    <n v="18"/>
  </r>
  <r>
    <n v="74"/>
    <s v="0074"/>
    <x v="2"/>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x v="16"/>
    <d v="2022-01-20T00:00:00"/>
    <m/>
    <m/>
    <m/>
    <s v="Entregado al area"/>
    <x v="1"/>
    <s v="21 de enero en solicitud de conceptos_x000a_24 de enero en recepcion de cotizaciones_x000a_26 DE ENERO EN ELABORACION DE LA  EVALUACION _x000a_28 de enero para firma de la aceptacion_x000a_"/>
    <m/>
    <d v="2022-02-07T00:00:00"/>
    <s v="Jan"/>
    <m/>
    <n v="18"/>
    <n v="18"/>
    <s v="G"/>
    <s v="FUNCIONAMIENTO"/>
    <s v="300-AO-1523-2022"/>
    <d v="2022-01-28T00:00:00"/>
    <n v="299483180"/>
    <s v="DBO INGENIERIA LTDA"/>
    <m/>
    <n v="33736400"/>
    <m/>
    <m/>
    <s v="N/A"/>
    <s v="N/A"/>
    <m/>
    <s v="ACOPI"/>
    <s v="YUMBO"/>
    <m/>
    <n v="0.10124375044227593"/>
    <n v="1"/>
    <n v="1"/>
    <n v="12"/>
  </r>
  <r>
    <n v="75"/>
    <s v="0075"/>
    <x v="2"/>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x v="1"/>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s v="Jan"/>
    <m/>
    <n v="15"/>
    <n v="15"/>
    <s v="G"/>
    <s v="FUNCIONAMIENTO"/>
    <s v="300-AO-1337-2022"/>
    <d v="2022-01-27T00:00:00"/>
    <n v="51766000"/>
    <s v="TALLERES BRIG LTDA"/>
    <m/>
    <n v="0"/>
    <m/>
    <m/>
    <s v="N/A"/>
    <s v="N/A"/>
    <m/>
    <s v="CALI"/>
    <s v="LOCAL"/>
    <m/>
    <n v="0"/>
    <n v="1"/>
    <n v="1"/>
    <n v="11"/>
  </r>
  <r>
    <n v="76"/>
    <s v="0076"/>
    <x v="2"/>
    <d v="2022-01-20T00:00:00"/>
    <x v="1"/>
    <s v="GAA0631"/>
    <s v="FR-300-GAA-0024-2022"/>
    <s v="N/A"/>
    <s v="Reposición redes alcantarillado barrio La Paz Comuna 02"/>
    <n v="130669738"/>
    <s v="6 meses"/>
    <s v="900-IP-0099-2022"/>
    <m/>
    <n v="202201924"/>
    <n v="135000000"/>
    <s v="N/A"/>
    <s v="N/A"/>
    <m/>
    <x v="2"/>
    <x v="2"/>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2-2022"/>
    <d v="2022-01-27T00:00:00"/>
    <n v="128331708"/>
    <s v="HABILIDADES ESATRUCTURALES EN INGENIERIA  LTDA"/>
    <m/>
    <n v="2338030"/>
    <m/>
    <m/>
    <s v="N/A"/>
    <s v="N/A"/>
    <m/>
    <s v="BUENAVENTURA"/>
    <s v="REGIONAL"/>
    <m/>
    <n v="1.789266616574987E-2"/>
    <n v="1"/>
    <n v="1"/>
    <n v="12"/>
  </r>
  <r>
    <n v="77"/>
    <s v="0077"/>
    <x v="2"/>
    <d v="2022-01-20T00:00:00"/>
    <x v="1"/>
    <s v="GAA0634"/>
    <s v="FR-300-GAA-0023-2022"/>
    <s v="N/A"/>
    <s v="Reposición redes alcantarillado barrios Navarro La Chanca"/>
    <n v="213249448"/>
    <s v="2 meses"/>
    <s v="900-IP-0097-2021"/>
    <m/>
    <n v="202201928"/>
    <n v="215000000"/>
    <s v="N/A"/>
    <s v="N/A"/>
    <m/>
    <x v="2"/>
    <x v="2"/>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1-2022"/>
    <d v="2022-01-27T00:00:00"/>
    <n v="210626684"/>
    <s v="PROYECTOS Y CONSTRUCCIONES DEL PACIFICO SAS"/>
    <m/>
    <n v="2622764"/>
    <m/>
    <m/>
    <s v="N/A"/>
    <s v="N/A"/>
    <m/>
    <s v="BUENAVENTURA"/>
    <s v="REGIONAL"/>
    <m/>
    <n v="1.2299042387204679E-2"/>
    <n v="1"/>
    <n v="1"/>
    <n v="12"/>
  </r>
  <r>
    <n v="78"/>
    <s v="0078"/>
    <x v="2"/>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x v="4"/>
    <d v="2022-01-20T00:00:00"/>
    <m/>
    <m/>
    <m/>
    <s v="Entregado al area"/>
    <x v="1"/>
    <s v="24 de enero en invitacion a ofertar_x000a_26 de enero en aceptacion_x000a_27 de enero en solicitud de polizas y rp"/>
    <m/>
    <d v="2022-02-08T00:00:00"/>
    <s v="Jan"/>
    <m/>
    <n v="19"/>
    <n v="19"/>
    <s v="G"/>
    <s v="FUNCIONAMIENTO"/>
    <s v="300-AO-1309-2022"/>
    <d v="2022-01-27T00:00:00"/>
    <n v="211031794"/>
    <s v="TECNISERICIOS DEL CENTRO DEL VALLE SAS"/>
    <m/>
    <n v="2008036"/>
    <m/>
    <m/>
    <s v="N/A"/>
    <s v="N/A"/>
    <m/>
    <s v="TULUA"/>
    <s v="REGIONAL"/>
    <m/>
    <n v="9.4256365112570725E-3"/>
    <n v="1"/>
    <n v="1"/>
    <n v="13"/>
  </r>
  <r>
    <n v="79"/>
    <s v="0079"/>
    <x v="2"/>
    <d v="2022-01-20T00:00:00"/>
    <x v="1"/>
    <s v="GAA0352"/>
    <s v="FR-300-GAA-0008-2022"/>
    <s v="N/A"/>
    <s v="Efectuar la limpieza por barrido de los Sumideros de la Ciudad de Cali"/>
    <n v="828849251"/>
    <s v="10 meses"/>
    <s v="900-IP-0104-2022"/>
    <m/>
    <n v="202200911"/>
    <n v="828850425"/>
    <s v="N/A"/>
    <s v="N/A"/>
    <m/>
    <x v="2"/>
    <x v="4"/>
    <d v="2022-01-20T00:00:00"/>
    <m/>
    <m/>
    <m/>
    <s v="Entregado al area"/>
    <x v="1"/>
    <s v="24 de enero en invitacion a ofertar_x000a_26 de enero en aceptacion_x000a_27 de enero en solicitud de polizas y rp"/>
    <m/>
    <d v="2022-02-02T00:00:00"/>
    <s v="Jan"/>
    <m/>
    <n v="13"/>
    <n v="13"/>
    <s v="M"/>
    <s v="FUNCIONAMIENTO"/>
    <s v="300-AO-1319-2022"/>
    <d v="2022-01-27T00:00:00"/>
    <n v="828709808"/>
    <s v="FUNDACION CENTRO ESPECIALIZADO EN SOLUCIONES Y ADMINISTRACION RECURSOS- FUNDACESAR"/>
    <m/>
    <n v="139443"/>
    <m/>
    <m/>
    <s v="N/A"/>
    <s v="N/A"/>
    <m/>
    <s v="CALI"/>
    <s v="LOCAL"/>
    <m/>
    <n v="1.6823686554794269E-4"/>
    <n v="1"/>
    <n v="1"/>
    <n v="9"/>
  </r>
  <r>
    <n v="80"/>
    <s v="0080"/>
    <x v="2"/>
    <d v="2022-01-20T00:00:00"/>
    <x v="1"/>
    <s v="GAA0354"/>
    <s v="FR-300-GAA-0006-2022"/>
    <s v="N/A"/>
    <s v="Mnatenimiento de las lagunas Charco Azul y El Pondaje."/>
    <n v="430492113"/>
    <s v="10 meses"/>
    <s v="900-IP-0085-2022"/>
    <m/>
    <n v="202200913"/>
    <n v="444639048"/>
    <s v="N/A"/>
    <s v="N/A"/>
    <m/>
    <x v="2"/>
    <x v="2"/>
    <d v="2022-01-20T00:00:00"/>
    <m/>
    <m/>
    <m/>
    <s v="Entregado al area"/>
    <x v="1"/>
    <s v="21 de enero en cotizaciones_x000a_24 DE ENERO EN INVITACION A OFERTAR_x000a_26 de enero para firma de la aceptacion de la oferta_x000a_27 de enero en Rp y polizas"/>
    <m/>
    <d v="2022-02-04T00:00:00"/>
    <s v="Jan"/>
    <m/>
    <n v="15"/>
    <n v="15"/>
    <s v="G"/>
    <s v="G"/>
    <s v="300-AO-1329-2022"/>
    <d v="2022-01-27T00:00:00"/>
    <n v="430491890"/>
    <s v="FUNDACION CENTRO ESPECIALIZADO EN SOLUCIONES Y ADMINISTRACION RECURSOS- FUNDACESAR"/>
    <m/>
    <n v="223"/>
    <m/>
    <m/>
    <s v="N/A"/>
    <s v="N/A"/>
    <m/>
    <s v="CALI"/>
    <s v="LOCAL"/>
    <m/>
    <n v="5.1801181314557556E-7"/>
    <n v="1"/>
    <n v="1"/>
    <n v="11"/>
  </r>
  <r>
    <n v="81"/>
    <s v="0081"/>
    <x v="2"/>
    <d v="2022-01-20T00:00:00"/>
    <x v="1"/>
    <s v="GAA0353"/>
    <s v="FR-300-GAA-0009-2022"/>
    <s v="N/A"/>
    <s v="Efectuar el aseo y limpieza de canales a mano de la ciudad de Cali."/>
    <n v="553875968"/>
    <s v="10 meses"/>
    <s v="900-IP-0084-2022"/>
    <m/>
    <n v="202200912"/>
    <n v="553885500"/>
    <s v="N/A"/>
    <s v="N/A"/>
    <m/>
    <x v="2"/>
    <x v="1"/>
    <d v="2022-01-20T00:00:00"/>
    <m/>
    <m/>
    <m/>
    <s v="Entregado al area"/>
    <x v="1"/>
    <s v="21 de enero en cotizaciones _x000a_24 DE ENERO EN ELABORACION DE LA FPA E INVITACION_x000a_26 DE ENERO EN REVISION DE LA EVALUACION_x000a_27 de enero en solicitud de polizas y registro presupuestal"/>
    <m/>
    <d v="2022-02-10T00:00:00"/>
    <s v="Jan"/>
    <m/>
    <n v="21"/>
    <n v="21"/>
    <s v="M"/>
    <s v="FUNCIONAMIENTO"/>
    <s v="300-AO-1315-2022"/>
    <d v="2022-01-27T00:00:00"/>
    <n v="553859106"/>
    <s v="FUNDACION CALI BRILLA SOL Y LUNA ONG"/>
    <m/>
    <n v="16862"/>
    <m/>
    <m/>
    <s v="N/A"/>
    <s v="N/A"/>
    <m/>
    <s v="CALI"/>
    <s v="LOCAL"/>
    <m/>
    <n v="3.0443638962866141E-5"/>
    <n v="1"/>
    <n v="1"/>
    <n v="15"/>
  </r>
  <r>
    <n v="82"/>
    <s v="0082"/>
    <x v="1"/>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x v="21"/>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s v="Jan"/>
    <m/>
    <n v="19"/>
    <n v="18"/>
    <s v="C"/>
    <s v="OPERACIÓN"/>
    <s v="500-AO-1473-2022"/>
    <d v="2022-01-28T00:00:00"/>
    <n v="1479300867"/>
    <s v="ELECTRO SOFTWARE SAS BIC"/>
    <m/>
    <n v="500"/>
    <m/>
    <m/>
    <s v="N/A"/>
    <s v="N/A"/>
    <m/>
    <s v="BU1CARAMANGA"/>
    <s v="NACIONAL"/>
    <m/>
    <n v="3.3799738927706944E-7"/>
    <n v="1"/>
    <n v="1"/>
    <n v="13"/>
  </r>
  <r>
    <n v="83"/>
    <s v="0083"/>
    <x v="1"/>
    <d v="2022-01-20T00:00:00"/>
    <x v="1"/>
    <s v="GE0229"/>
    <s v="FR-500-GE-0123-2022"/>
    <s v="N/A"/>
    <s v="Suministro de Fusibles de T de Media Tension."/>
    <n v="27612284"/>
    <m/>
    <s v="900-IP-0111-2022"/>
    <s v="IP-"/>
    <n v="202201998"/>
    <m/>
    <s v="N/A"/>
    <s v="N/A"/>
    <s v="N/A"/>
    <x v="2"/>
    <x v="17"/>
    <d v="2022-01-20T00:00:00"/>
    <e v="#VALUE!"/>
    <e v="#VALUE!"/>
    <s v="NO"/>
    <s v="Devuelto"/>
    <x v="2"/>
    <m/>
    <s v="24 DE ENERO EN COTIZACIONES_x000a_26 de enero en elaboracion de fpa e invitacion_x000a_28 DE ENERO EN ELABORACION DE LA FPA"/>
    <d v="2022-01-28T00:00:00"/>
    <m/>
    <s v="ene"/>
    <n v="8"/>
    <n v="8"/>
    <s v="G"/>
    <s v="FUNCIONAMIENTO"/>
    <m/>
    <m/>
    <m/>
    <m/>
    <m/>
    <n v="27612284"/>
    <m/>
    <m/>
    <m/>
    <m/>
    <m/>
    <m/>
    <m/>
    <m/>
    <m/>
    <n v="1"/>
    <m/>
    <m/>
  </r>
  <r>
    <n v="84"/>
    <s v="0084"/>
    <x v="2"/>
    <d v="2022-01-21T00:00:00"/>
    <x v="1"/>
    <s v="GAA0640"/>
    <s v="FR-300-GAA-0020-2022"/>
    <s v="N/A"/>
    <s v="Reposición redes alcantarillado barrio La Merced"/>
    <n v="492062894"/>
    <s v="6 meses"/>
    <s v="900-IP-0122-2022"/>
    <m/>
    <n v="202201920"/>
    <n v="495000000"/>
    <s v="N/A"/>
    <s v="N/A"/>
    <m/>
    <x v="2"/>
    <x v="4"/>
    <d v="2022-01-21T00:00:00"/>
    <m/>
    <m/>
    <m/>
    <s v="Entregado al area"/>
    <x v="1"/>
    <s v="24 de enero en invitacion a ofertar_x000a_26 de enero en aceptacion_x000a_27 de enero en solicitud de polizas y rp"/>
    <m/>
    <d v="2022-02-03T00:00:00"/>
    <s v="Jan"/>
    <m/>
    <n v="13"/>
    <n v="13"/>
    <s v="G"/>
    <s v="INVERSION"/>
    <s v="300-AO-1320-2022"/>
    <d v="2022-01-27T00:00:00"/>
    <n v="488670524"/>
    <s v="CMO CONTRATISTAS MANO DE OBRA SAS"/>
    <m/>
    <n v="3392370"/>
    <m/>
    <m/>
    <m/>
    <m/>
    <m/>
    <s v="CALI"/>
    <s v="LOCAL"/>
    <m/>
    <n v="6.8941796696419871E-3"/>
    <n v="1"/>
    <n v="1"/>
    <n v="9"/>
  </r>
  <r>
    <n v="85"/>
    <s v="0085"/>
    <x v="5"/>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x v="10"/>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m/>
    <s v="ene"/>
    <n v="7"/>
    <n v="2"/>
    <s v="G"/>
    <s v="FUNCIONAMIENTO"/>
    <m/>
    <m/>
    <m/>
    <m/>
    <m/>
    <n v="500000000"/>
    <m/>
    <m/>
    <m/>
    <m/>
    <m/>
    <m/>
    <m/>
    <m/>
    <m/>
    <n v="0"/>
    <m/>
    <m/>
  </r>
  <r>
    <n v="86"/>
    <s v="0086"/>
    <x v="2"/>
    <d v="2022-01-21T00:00:00"/>
    <x v="1"/>
    <s v="GAA0345"/>
    <s v="FR-300-GAA-0032-2022"/>
    <s v="N/A"/>
    <s v="Monitoreo de vertimientos finales al sistema de drenaje de la ciudad de Cali."/>
    <n v="369071937"/>
    <s v="240 dias"/>
    <s v="900-IP-0127-2022"/>
    <m/>
    <n v="202201968"/>
    <n v="37110000"/>
    <s v="N/A"/>
    <s v="N/A"/>
    <m/>
    <x v="2"/>
    <x v="16"/>
    <d v="2022-01-21T00:00:00"/>
    <m/>
    <m/>
    <m/>
    <s v="Entregado al area"/>
    <x v="1"/>
    <s v="24 de enero en recepcion de cotizaciones_x000a_26 DE ENERO EN ELABORACION DE LA  EVALUACION _x000a_28 de enero para firma de la aceptacion"/>
    <m/>
    <d v="2022-02-07T00:00:00"/>
    <s v="Jan"/>
    <m/>
    <n v="17"/>
    <n v="17"/>
    <s v="G"/>
    <s v="FUNCIONAMIENTO"/>
    <s v="300-AO-1524-2022"/>
    <d v="2022-01-26T00:00:00"/>
    <n v="358665166"/>
    <s v="DBO INGENIERIA LTDA"/>
    <m/>
    <n v="10406771"/>
    <m/>
    <m/>
    <s v="N/A"/>
    <s v="N//A"/>
    <m/>
    <s v="ACOPI"/>
    <s v="MUNICIPAL"/>
    <m/>
    <n v="2.8197134370582067E-2"/>
    <n v="1"/>
    <n v="1"/>
    <n v="11"/>
  </r>
  <r>
    <n v="87"/>
    <s v="0087"/>
    <x v="0"/>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x v="7"/>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s v="Jan"/>
    <m/>
    <n v="19"/>
    <n v="19"/>
    <s v="G"/>
    <s v="FUNCIONAMIENTO"/>
    <s v="400-AO-1376-2022"/>
    <d v="2022-01-27T00:00:00"/>
    <n v="143641925"/>
    <s v="SUMINISTROS Y SERVICIOS TECNICOS SOCIEDAD  POR ACCIONES SIMPLICADA SAS"/>
    <m/>
    <n v="119075"/>
    <m/>
    <m/>
    <m/>
    <m/>
    <m/>
    <s v="CALI"/>
    <s v="LOCAL"/>
    <m/>
    <n v="8.2828444432078241E-4"/>
    <n v="1"/>
    <n v="1"/>
    <n v="13"/>
  </r>
  <r>
    <n v="88"/>
    <s v="0088"/>
    <x v="1"/>
    <d v="2022-01-24T00:00:00"/>
    <x v="1"/>
    <s v="GE0298"/>
    <s v="FR-500-GE-0109-2022"/>
    <s v="N/A"/>
    <s v="Suministro de Medidores de Energía Electronicos Monofasico-Bifasico-Trifasico para Medida Directa."/>
    <n v="399937342"/>
    <s v="120 dias"/>
    <s v="900-IP-0125-2022"/>
    <m/>
    <n v="202202112"/>
    <n v="399937342"/>
    <s v="N/A"/>
    <s v="N/A"/>
    <m/>
    <x v="2"/>
    <x v="2"/>
    <d v="2022-01-24T00:00:00"/>
    <m/>
    <m/>
    <m/>
    <s v="Entregado al area"/>
    <x v="1"/>
    <s v="26 de enero en revision de la  evaluacion_x000a_27 de enero en Rp y polizas"/>
    <m/>
    <d v="2022-02-09T00:00:00"/>
    <s v="Jan"/>
    <m/>
    <n v="16"/>
    <n v="16"/>
    <s v="G"/>
    <s v="OPERACIÓN"/>
    <s v="500-AO-1323-2022"/>
    <d v="2022-01-27T00:00:00"/>
    <n v="399912352"/>
    <s v="INDUSTRIAL ELECTRICA DEL CAUCA SAS"/>
    <m/>
    <n v="24990"/>
    <m/>
    <m/>
    <s v="2021-392"/>
    <d v="2022-01-04T00:00:00"/>
    <m/>
    <s v="CALI"/>
    <s v="LOCAL"/>
    <m/>
    <n v="6.2484787929605235E-5"/>
    <n v="1"/>
    <n v="1"/>
    <n v="12"/>
  </r>
  <r>
    <n v="89"/>
    <s v="0089"/>
    <x v="1"/>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x v="2"/>
    <d v="2022-01-24T00:00:00"/>
    <m/>
    <m/>
    <m/>
    <s v="Entregado al area"/>
    <x v="1"/>
    <s v="26 de enero en revision de la  evaluacion_x000a_27 de enero en Rp y polizas"/>
    <m/>
    <d v="2022-02-03T00:00:00"/>
    <s v="Jan"/>
    <m/>
    <n v="10"/>
    <n v="10"/>
    <s v="G"/>
    <s v="INVERSION"/>
    <s v="500-AO-1333-2022"/>
    <d v="2022-01-27T00:00:00"/>
    <n v="485124920"/>
    <s v="POTENCIA Y TECNOLOGIAS INCORPORADAS SA"/>
    <m/>
    <n v="13962665"/>
    <m/>
    <m/>
    <m/>
    <m/>
    <m/>
    <s v="CALI"/>
    <s v="LOCAL"/>
    <m/>
    <n v="2.7976382141423135E-2"/>
    <n v="1"/>
    <n v="1"/>
    <n v="8"/>
  </r>
  <r>
    <n v="90"/>
    <s v="0090"/>
    <x v="0"/>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x v="12"/>
    <d v="2022-01-21T00:00:00"/>
    <m/>
    <m/>
    <m/>
    <s v="Entregado al area"/>
    <x v="1"/>
    <s v="26 DE ENERO EN REVISION DE LA INVITACION Y FPA_x000a_28 DE ENERO EN REVISION DE LA EVALUACION"/>
    <m/>
    <d v="2022-02-11T00:00:00"/>
    <s v="Jan"/>
    <m/>
    <n v="21"/>
    <n v="21"/>
    <s v="C"/>
    <s v="INVERSION"/>
    <s v="400-AO-1470-2022"/>
    <d v="2022-01-28T00:00:00"/>
    <n v="399966126"/>
    <s v="COLBITS SAS"/>
    <m/>
    <n v="0"/>
    <m/>
    <m/>
    <s v="N/A"/>
    <s v="N/A"/>
    <m/>
    <s v="CALI"/>
    <s v="LOCAL"/>
    <m/>
    <n v="0"/>
    <n v="1"/>
    <n v="1"/>
    <n v="15"/>
  </r>
  <r>
    <n v="91"/>
    <s v="0091"/>
    <x v="1"/>
    <d v="2022-01-24T00:00:00"/>
    <x v="1"/>
    <s v="GE0256"/>
    <s v="FR-500-GE-0128-2022"/>
    <s v="N/A"/>
    <s v="Realizar mediciones ambientales de ruido y de campos electromagnéticos en subestaciones de energía y lineas de Subtransmisión a 115 Kv."/>
    <n v="26610066"/>
    <m/>
    <s v="900-IP-0136-2022"/>
    <s v="IP-"/>
    <n v="202202106"/>
    <m/>
    <s v="N/A"/>
    <s v="N/A"/>
    <s v="N/A"/>
    <x v="2"/>
    <x v="18"/>
    <d v="2022-01-24T00:00:00"/>
    <e v="#VALUE!"/>
    <e v="#VALUE!"/>
    <s v="NO"/>
    <s v="Devuelto"/>
    <x v="2"/>
    <m/>
    <s v="26 DE ENERO EN COTIZACIONES_x000a_28 de enero en solicitud de cotizaciones "/>
    <d v="2022-02-17T00:00:00"/>
    <m/>
    <s v="feb"/>
    <n v="24"/>
    <n v="24"/>
    <s v="G"/>
    <s v="FUNCIONAMIENTO"/>
    <m/>
    <m/>
    <m/>
    <m/>
    <m/>
    <n v="26610066"/>
    <m/>
    <m/>
    <m/>
    <m/>
    <m/>
    <m/>
    <m/>
    <m/>
    <m/>
    <n v="1"/>
    <m/>
    <m/>
  </r>
  <r>
    <n v="92"/>
    <s v="0092"/>
    <x v="1"/>
    <d v="2022-01-24T00:00:00"/>
    <x v="1"/>
    <s v="GE0305"/>
    <s v="FR-500-GE-0118-2022"/>
    <s v="N/A"/>
    <s v="Suministro de CONECTORES Y condiciones  técnicas. GRAPAS"/>
    <n v="70583125"/>
    <s v="31 de diciembre 2022"/>
    <s v="_x000a_900-IP-0157-2021_x000a_"/>
    <m/>
    <n v="202201916"/>
    <n v="152821240"/>
    <s v="N/A"/>
    <s v="N/A"/>
    <m/>
    <x v="2"/>
    <x v="13"/>
    <d v="2022-01-24T00:00:00"/>
    <m/>
    <m/>
    <m/>
    <s v="Entregado al area"/>
    <x v="1"/>
    <s v="26 DE ENERO EN ELABORACION DE LA FPA E INVITACION_x000a_28 DE ENERO EN REVISION DE LA INVITACION "/>
    <m/>
    <d v="2022-02-08T00:00:00"/>
    <s v="Jan"/>
    <m/>
    <n v="15"/>
    <n v="15"/>
    <s v="G"/>
    <s v="OPERACIÓN_x000a_FUNCIONAMIENTO_x000a_INVERSION"/>
    <s v="500-AO-1508-2022"/>
    <d v="2022-01-28T00:00:00"/>
    <n v="70583125"/>
    <s v="ELECTRICOS DEL VALLE SA"/>
    <m/>
    <n v="0"/>
    <m/>
    <m/>
    <s v="2022-024"/>
    <d v="2022-01-19T00:00:00"/>
    <m/>
    <s v="CALI"/>
    <s v="LOCAL"/>
    <m/>
    <n v="0"/>
    <n v="1"/>
    <n v="1"/>
    <n v="11"/>
  </r>
  <r>
    <n v="93"/>
    <s v="0093"/>
    <x v="5"/>
    <d v="2022-01-24T00:00:00"/>
    <x v="1"/>
    <s v="GHA0013"/>
    <s v="FR-800-GAGHA-0080-2022"/>
    <s v="N/A"/>
    <s v="Elaborar y entregar recordatorios y botones fundidos y grabados con el logo de EMCALI EICE ESP."/>
    <n v="13301761"/>
    <m/>
    <m/>
    <s v=""/>
    <n v="202201822"/>
    <m/>
    <s v="N/A"/>
    <s v="N/A"/>
    <s v="N/A"/>
    <x v="3"/>
    <x v="12"/>
    <d v="2022-01-24T00:00:00"/>
    <e v="#VALUE!"/>
    <e v="#VALUE!"/>
    <s v="NO"/>
    <s v="Devuelto"/>
    <x v="2"/>
    <m/>
    <s v="26 DE ENERO EN REVISION DE LA INVITACION Y FPA_x000a_28 DE ENERO EN REVISION DE LA INVITACION"/>
    <d v="2022-01-28T00:00:00"/>
    <m/>
    <s v="ene"/>
    <n v="4"/>
    <n v="4"/>
    <s v="G"/>
    <s v="FUNCIONAMIENTO"/>
    <m/>
    <m/>
    <m/>
    <m/>
    <m/>
    <n v="13301761"/>
    <m/>
    <m/>
    <m/>
    <m/>
    <m/>
    <m/>
    <m/>
    <m/>
    <m/>
    <n v="0"/>
    <m/>
    <m/>
  </r>
  <r>
    <n v="94"/>
    <s v="0094"/>
    <x v="6"/>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x v="3"/>
    <d v="2022-01-24T00:00:00"/>
    <m/>
    <m/>
    <m/>
    <s v="Entregado al area"/>
    <x v="1"/>
    <s v="26 de enero en recepcion de ofertas_x000a_28 DE ENERO EN ELABORACION DE LA EVALUACION"/>
    <m/>
    <d v="2022-02-11T00:00:00"/>
    <s v="Jan"/>
    <m/>
    <n v="18"/>
    <n v="18"/>
    <s v="G"/>
    <s v="FUNCIONAMIENTO"/>
    <s v="200-AO-1516-2022"/>
    <d v="2022-01-28T00:00:00"/>
    <n v="294000000"/>
    <s v="NEURO MEDIA SAS"/>
    <m/>
    <n v="6000000"/>
    <m/>
    <m/>
    <s v="N/A"/>
    <s v="N/A"/>
    <m/>
    <s v="CALI"/>
    <s v="LOCAL"/>
    <m/>
    <n v="0.02"/>
    <n v="0"/>
    <n v="1"/>
    <n v="14"/>
  </r>
  <r>
    <n v="95"/>
    <s v="0095"/>
    <x v="6"/>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x v="3"/>
    <d v="2022-01-21T00:00:00"/>
    <m/>
    <m/>
    <m/>
    <s v="Entregado al area"/>
    <x v="1"/>
    <s v="26 de enero en recepcion de ofertas_x000a_28 DE ENERO EN ELABORACION DE LA EVALUACION_x000a_solicitud de numeracion"/>
    <m/>
    <d v="2022-02-08T00:00:00"/>
    <s v="Jan"/>
    <m/>
    <n v="18"/>
    <n v="18"/>
    <s v="G"/>
    <s v="FUNCIONAMIENTO"/>
    <s v="200-AO-1517-2022"/>
    <d v="2022-01-28T00:00:00"/>
    <n v="264903916"/>
    <s v="SUNTIC SAS"/>
    <m/>
    <n v="1"/>
    <m/>
    <m/>
    <s v="N/A"/>
    <s v="N/A"/>
    <m/>
    <s v="CALI"/>
    <s v="LOCAL"/>
    <m/>
    <n v="3.7749536183717509E-9"/>
    <n v="0"/>
    <n v="1"/>
    <n v="12"/>
  </r>
  <r>
    <n v="96"/>
    <s v="0096"/>
    <x v="6"/>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x v="3"/>
    <d v="2022-01-21T00:00:00"/>
    <m/>
    <m/>
    <m/>
    <s v="Entregado al area"/>
    <x v="1"/>
    <s v="26 de enero para la revision de la fpa e invitacion_x000a_28 DE ENERO EN EVALUACION"/>
    <m/>
    <d v="2022-02-08T00:00:00"/>
    <s v="Jan"/>
    <m/>
    <n v="18"/>
    <n v="18"/>
    <s v="G"/>
    <s v="FUNCIONAMIENTO"/>
    <s v="200-AO-1518-2022"/>
    <d v="2022-01-28T00:00:00"/>
    <n v="482264000"/>
    <s v="OPTIMAL TECHNOLOGY SAS"/>
    <m/>
    <n v="17726420"/>
    <m/>
    <m/>
    <s v="N/A"/>
    <s v="N/A"/>
    <m/>
    <s v="CALI"/>
    <s v="LOCAL"/>
    <m/>
    <n v="3.5453519289429587E-2"/>
    <n v="0"/>
    <n v="1"/>
    <n v="12"/>
  </r>
  <r>
    <n v="97"/>
    <s v="0097"/>
    <x v="6"/>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x v="3"/>
    <d v="2022-01-21T00:00:00"/>
    <m/>
    <m/>
    <m/>
    <s v="Entregado al area"/>
    <x v="1"/>
    <s v="26 de enero para firma de la aceptacion de la oferta_x000a_28 DE ENERO EN RP Y POLIZAS"/>
    <m/>
    <d v="2022-02-07T00:00:00"/>
    <s v="Jan"/>
    <m/>
    <n v="17"/>
    <n v="17"/>
    <s v="C"/>
    <s v="FUNCIONAMIENTO"/>
    <s v="200-AO-1339-2022"/>
    <d v="2022-01-27T00:00:00"/>
    <n v="940997260"/>
    <s v="COLBITS SAS"/>
    <m/>
    <n v="2740"/>
    <m/>
    <m/>
    <s v="N/A"/>
    <s v="N/A"/>
    <m/>
    <s v="CALI"/>
    <s v="LOCAL"/>
    <m/>
    <n v="2.9117959617428266E-6"/>
    <n v="0"/>
    <n v="1"/>
    <n v="11"/>
  </r>
  <r>
    <n v="98"/>
    <s v="0098"/>
    <x v="6"/>
    <d v="2022-01-21T00:00:00"/>
    <x v="1"/>
    <s v="GTI0026_x000a_GTI0047"/>
    <s v="FR-200-GTI-0072-2022"/>
    <s v="N/A"/>
    <s v="Servicio en la Nube (SAAS) de los aplicativos ARIBA Y SUCCES FACTOR."/>
    <n v="808425155"/>
    <s v="60 dias"/>
    <s v="900-IP-0148-2022"/>
    <m/>
    <s v="202201948_x000a_202201950"/>
    <n v="808425155"/>
    <s v="N/A"/>
    <s v="N/A"/>
    <m/>
    <x v="2"/>
    <x v="3"/>
    <d v="2022-01-21T00:00:00"/>
    <m/>
    <m/>
    <m/>
    <s v="Entregado al area"/>
    <x v="1"/>
    <s v="26 DE ENERO EN COTIZACIONES_x000a_28 DE ENERO EN RECEPCION DE OFERTAS"/>
    <m/>
    <d v="2022-02-10T00:00:00"/>
    <s v="Jan"/>
    <m/>
    <n v="20"/>
    <n v="20"/>
    <s v="C"/>
    <s v="FUNCIONAMIENTO"/>
    <s v="200-AO-1520-2022"/>
    <d v="2022-01-28T00:00:00"/>
    <n v="808425138"/>
    <s v="SAP COLOMBIA SAS"/>
    <m/>
    <n v="17"/>
    <m/>
    <m/>
    <s v="N/A"/>
    <s v="N/A"/>
    <m/>
    <s v="BOGOTA"/>
    <s v="NACIONAL"/>
    <m/>
    <n v="2.1028539123080602E-8"/>
    <n v="0"/>
    <n v="1"/>
    <n v="14"/>
  </r>
  <r>
    <n v="99"/>
    <s v="0099"/>
    <x v="6"/>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x v="3"/>
    <d v="2022-01-21T00:00:00"/>
    <m/>
    <m/>
    <m/>
    <s v="Entregado al area"/>
    <x v="1"/>
    <s v="26 de enero en recepcion de ofertas"/>
    <m/>
    <d v="2022-02-08T00:00:00"/>
    <s v="Jan"/>
    <m/>
    <n v="18"/>
    <n v="18"/>
    <s v="C"/>
    <s v="FUNCIONAMIENTO"/>
    <s v="200-AO-1514-2022"/>
    <d v="2022-01-28T00:00:00"/>
    <n v="348700000"/>
    <s v="ANDINA LIFE SAS"/>
    <m/>
    <n v="998036"/>
    <m/>
    <m/>
    <s v="N/A"/>
    <s v="N/A"/>
    <m/>
    <s v="BOGOTA"/>
    <s v="NACIONAL"/>
    <m/>
    <n v="2.8539937238881148E-3"/>
    <n v="0"/>
    <n v="1"/>
    <n v="12"/>
  </r>
  <r>
    <n v="100"/>
    <s v="0100"/>
    <x v="6"/>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x v="3"/>
    <d v="2022-01-24T00:00:00"/>
    <m/>
    <m/>
    <m/>
    <s v="Entregado al area"/>
    <x v="1"/>
    <s v="26 DE ENERO EN ELABORACION DE LA FPA E INVITACION_x000a_28 DE ENERO EN ELBOTACION DE LA EVALUACION"/>
    <m/>
    <d v="2022-02-08T00:00:00"/>
    <s v="Jan"/>
    <m/>
    <n v="15"/>
    <n v="15"/>
    <s v="G"/>
    <s v="FUNCIONAMIENTO"/>
    <s v="200-AO-1519-2021"/>
    <d v="2022-01-28T00:00:00"/>
    <n v="447814074"/>
    <s v="GRUPOSIT SAS"/>
    <m/>
    <n v="2185926"/>
    <m/>
    <m/>
    <s v="N/A"/>
    <s v="N/A"/>
    <m/>
    <s v="CALI"/>
    <s v="LOCAL"/>
    <m/>
    <n v="4.8576133333333334E-3"/>
    <n v="0"/>
    <n v="1"/>
    <n v="11"/>
  </r>
  <r>
    <n v="101"/>
    <s v="0101"/>
    <x v="5"/>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x v="7"/>
    <d v="2022-01-25T00:00:00"/>
    <m/>
    <m/>
    <m/>
    <s v="Entregado al area"/>
    <x v="1"/>
    <s v="26 de enero en recepcion de ofertas_x000a_278 de enero en evaluacion"/>
    <m/>
    <d v="2022-02-14T00:00:00"/>
    <s v="Jan"/>
    <m/>
    <n v="20"/>
    <n v="20"/>
    <s v="G"/>
    <s v="INVERSION"/>
    <s v="800-AO-1471-2022"/>
    <d v="2022-01-28T00:00:00"/>
    <n v="330227598"/>
    <s v="4L INGENIERIA SAS"/>
    <m/>
    <n v="5168189"/>
    <m/>
    <m/>
    <s v="N/A"/>
    <s v="N/A"/>
    <m/>
    <s v="MONTERIA"/>
    <s v="NACIONAL"/>
    <m/>
    <n v="1.5409224564886977E-2"/>
    <n v="0"/>
    <n v="1"/>
    <n v="14"/>
  </r>
  <r>
    <n v="102"/>
    <s v="0102"/>
    <x v="1"/>
    <d v="2022-01-25T00:00:00"/>
    <x v="1"/>
    <s v="GE0310"/>
    <s v="FR-500-GE-0159-2022"/>
    <s v="N/A"/>
    <s v="Alquiler de una (1) Unidad Sanitaria Portatil (USP) con lavamanos en la Subestación Alferez"/>
    <n v="9282000"/>
    <s v="31 de diciembre 2022"/>
    <s v="900-IP-0138-2022"/>
    <m/>
    <n v="202202211"/>
    <n v="9282000"/>
    <s v="N/A"/>
    <s v="N/A"/>
    <m/>
    <x v="2"/>
    <x v="8"/>
    <d v="2022-01-25T00:00:00"/>
    <m/>
    <m/>
    <m/>
    <s v="Entregado al area"/>
    <x v="1"/>
    <s v="26 DE ENERO EN COTIZACIONES_x000a_28 DE ENERO EN INVITACION A OFERTAR_x000a_28 de enero en revision de la evaluacion"/>
    <m/>
    <d v="2022-02-11T00:00:00"/>
    <s v="Jan"/>
    <m/>
    <n v="17"/>
    <n v="17"/>
    <s v="G"/>
    <s v="FUNCIONAMIENTO"/>
    <s v="500-AO-1509-2022"/>
    <d v="2022-01-28T00:00:00"/>
    <n v="9281988"/>
    <s v="VC SAFETY COLOMBIA SAS"/>
    <m/>
    <n v="12"/>
    <m/>
    <m/>
    <s v="N/A"/>
    <s v="N/A"/>
    <m/>
    <s v="CALI"/>
    <s v="LOCAL"/>
    <m/>
    <n v="1.2928248222365869E-6"/>
    <n v="1"/>
    <n v="1"/>
    <n v="13"/>
  </r>
  <r>
    <n v="103"/>
    <s v="0103"/>
    <x v="2"/>
    <d v="2022-01-25T00:00:00"/>
    <x v="1"/>
    <s v="GAA0256"/>
    <s v="FR-300-GAA-0033-2022"/>
    <s v="N/A"/>
    <s v="Mantenimiento a sistema variador de velocidad PTAP Puerto Mallarino"/>
    <n v="120000000"/>
    <s v="2 meses"/>
    <s v="900-IP-0141-2022"/>
    <m/>
    <n v="202200889"/>
    <n v="120000000"/>
    <s v="N/A"/>
    <s v="N/A"/>
    <m/>
    <x v="2"/>
    <x v="4"/>
    <d v="2022-01-25T00:00:00"/>
    <m/>
    <m/>
    <m/>
    <s v="Entregado al area"/>
    <x v="1"/>
    <s v="26 de enero en recepcion de ofertas_x000a_27 de enero en solicitud de polizas y rp"/>
    <m/>
    <d v="2022-02-24T00:00:00"/>
    <s v="Jan"/>
    <m/>
    <n v="30"/>
    <n v="30"/>
    <s v="C"/>
    <s v="FUNCIONAMIENTO"/>
    <s v="300-AO-1364-2022"/>
    <d v="2022-01-27T00:00:00"/>
    <n v="120000000"/>
    <s v="ABB COLOMBIA LTDA"/>
    <m/>
    <n v="0"/>
    <m/>
    <m/>
    <s v="N/A"/>
    <s v="N/A"/>
    <m/>
    <s v="BOGOTA"/>
    <s v="NACIONAL"/>
    <m/>
    <n v="0"/>
    <n v="1"/>
    <n v="1"/>
    <n v="22"/>
  </r>
  <r>
    <n v="104"/>
    <s v="0104"/>
    <x v="1"/>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x v="18"/>
    <d v="2022-01-26T00:00:00"/>
    <m/>
    <m/>
    <m/>
    <s v="Entregado al area"/>
    <x v="1"/>
    <s v="26 DE ENERO EN COTIZACIONES_x000a_28 de enero en recepion de ofertas_x000a_REVISION EVALUACION"/>
    <m/>
    <d v="2022-02-14T00:00:00"/>
    <s v="Jan"/>
    <m/>
    <n v="19"/>
    <n v="19"/>
    <s v="G"/>
    <s v="FUNCIONAMIENTO"/>
    <s v="500-AO-1522-2022"/>
    <d v="2022-01-28T00:00:00"/>
    <n v="7937249"/>
    <s v="SERCO SRVICIO Y SUMINISTRO QUIMICO LTDA"/>
    <m/>
    <n v="0"/>
    <m/>
    <m/>
    <s v="N/A"/>
    <s v="N/A"/>
    <m/>
    <s v="BOGOTA"/>
    <s v="NACIONAL"/>
    <m/>
    <n v="0"/>
    <n v="1"/>
    <n v="1"/>
    <n v="13"/>
  </r>
  <r>
    <n v="105"/>
    <s v="0105"/>
    <x v="1"/>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x v="2"/>
    <d v="2022-01-26T00:00:00"/>
    <m/>
    <m/>
    <m/>
    <s v="Entregado al area"/>
    <x v="1"/>
    <s v="26 de enero en cotizaciones_x000a_27 de enero en recepcion de ofertas"/>
    <m/>
    <d v="2022-02-04T00:00:00"/>
    <s v="Jan"/>
    <m/>
    <n v="9"/>
    <n v="9"/>
    <s v="G"/>
    <s v="FUNCIONAMIENTO"/>
    <s v="500-AO-1455-2022"/>
    <d v="2022-01-28T00:00:00"/>
    <n v="198881517"/>
    <s v="TMI DE COLOMBIALTDA"/>
    <m/>
    <n v="718701"/>
    <m/>
    <m/>
    <s v="N/A"/>
    <s v="N/A"/>
    <m/>
    <s v="PALMIRA "/>
    <s v="REGIONAL"/>
    <m/>
    <n v="3.600702480194686E-3"/>
    <n v="1"/>
    <n v="1"/>
    <n v="7"/>
  </r>
  <r>
    <n v="106"/>
    <s v="0106"/>
    <x v="2"/>
    <d v="2022-01-26T00:00:00"/>
    <x v="1"/>
    <s v="GE0231"/>
    <s v="FR-500-GE-0150-2022"/>
    <s v="N/A"/>
    <s v="Suministro de monitor administrador de temperatura de transformadores salida scada."/>
    <n v="71400000"/>
    <m/>
    <s v="900-IP-0144-2022"/>
    <s v="IP-"/>
    <n v="202202179"/>
    <m/>
    <s v="N/A"/>
    <s v="N/A"/>
    <s v="N/A"/>
    <x v="2"/>
    <x v="17"/>
    <d v="2022-01-26T00:00:00"/>
    <e v="#VALUE!"/>
    <e v="#VALUE!"/>
    <s v="NO"/>
    <s v="Devuelto"/>
    <x v="2"/>
    <m/>
    <s v="26 de enero en cotizaciones_x000a_28 DE ENERO EN REVISION DE LA FPA E INVITACION"/>
    <d v="2022-01-28T00:00:00"/>
    <m/>
    <s v="ene"/>
    <n v="2"/>
    <n v="2"/>
    <s v="G"/>
    <s v="FUNCIONAMIENTO"/>
    <m/>
    <m/>
    <m/>
    <m/>
    <m/>
    <n v="71400000"/>
    <m/>
    <m/>
    <m/>
    <m/>
    <m/>
    <m/>
    <m/>
    <m/>
    <m/>
    <n v="1"/>
    <m/>
    <m/>
  </r>
  <r>
    <n v="107"/>
    <s v="0107"/>
    <x v="2"/>
    <d v="2022-01-26T00:00:00"/>
    <x v="1"/>
    <s v="GAA0265"/>
    <s v="FR-300-GAA-0031-2022"/>
    <s v="N/A"/>
    <s v="Lavado de los reservorios PTAP de Puerto Mallarino"/>
    <n v="164087782"/>
    <s v="7 meses"/>
    <s v="900-IP-0140-2022"/>
    <m/>
    <n v="202200894"/>
    <n v="164087782"/>
    <s v="N/A"/>
    <s v="N/A"/>
    <m/>
    <x v="2"/>
    <x v="4"/>
    <d v="2022-01-26T00:00:00"/>
    <m/>
    <m/>
    <m/>
    <s v="Entregado al area"/>
    <x v="1"/>
    <s v="24 de enero en recepcion de ofertas_x000a_27 de enero en solicitud de polizas y rp"/>
    <m/>
    <d v="2022-02-03T00:00:00"/>
    <s v="Jan"/>
    <m/>
    <n v="8"/>
    <n v="8"/>
    <s v="G"/>
    <s v="FUNCIONAMIENTO"/>
    <s v="300-AO-1321-2022"/>
    <d v="2022-01-28T00:00:00"/>
    <n v="162077952"/>
    <s v="ALQUILER Y CONSTRUCCIONES CARABALI SAS"/>
    <m/>
    <n v="2009830"/>
    <m/>
    <m/>
    <s v="N/A"/>
    <s v="N/A"/>
    <m/>
    <s v="CALI"/>
    <s v="LOCAL"/>
    <m/>
    <n v="1.2248504888682083E-2"/>
    <n v="1"/>
    <n v="1"/>
    <n v="6"/>
  </r>
  <r>
    <n v="108"/>
    <s v="0108"/>
    <x v="6"/>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x v="22"/>
    <d v="2022-01-26T00:00:00"/>
    <m/>
    <m/>
    <m/>
    <s v="Entregado al area"/>
    <x v="1"/>
    <s v="28 DE ENERO EN ELABORACION DE LA EVALUACION_x000a_en solicitud de RP "/>
    <m/>
    <d v="2022-02-15T00:00:00"/>
    <s v="Jan"/>
    <m/>
    <n v="20"/>
    <n v="20"/>
    <s v="G"/>
    <s v="FUNCIONAMIENTO"/>
    <s v="200-AO-1427-2022"/>
    <d v="2022-01-28T00:00:00"/>
    <n v="357779912"/>
    <s v="INTEGRATIC SAS"/>
    <m/>
    <n v="88"/>
    <m/>
    <m/>
    <s v="N/A"/>
    <s v="N/A"/>
    <m/>
    <s v="CALI"/>
    <s v="LOCAL"/>
    <m/>
    <n v="2.4596120520990555E-7"/>
    <n v="0"/>
    <n v="1"/>
    <n v="14"/>
  </r>
  <r>
    <n v="109"/>
    <s v="0109"/>
    <x v="6"/>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x v="22"/>
    <d v="2022-01-26T00:00:00"/>
    <m/>
    <m/>
    <m/>
    <s v="Entregado al area"/>
    <x v="1"/>
    <s v="28 DE ENERO EN ELABORACION DE LA EVALUACION_x000a_esperando numeracion de la aceptacion"/>
    <m/>
    <d v="2022-02-08T00:00:00"/>
    <s v="Jan"/>
    <m/>
    <n v="13"/>
    <n v="13"/>
    <s v="G"/>
    <s v="FUNCIONAMIENTO"/>
    <s v="200-AO-1477-2022"/>
    <d v="2022-01-28T00:00:00"/>
    <n v="185000000"/>
    <s v="BEST ENERGY SAS"/>
    <m/>
    <n v="0"/>
    <m/>
    <m/>
    <s v="N/A"/>
    <s v="N/A"/>
    <m/>
    <s v="CALI"/>
    <s v="LOCAL"/>
    <m/>
    <n v="0"/>
    <n v="0"/>
    <n v="1"/>
    <n v="9"/>
  </r>
  <r>
    <n v="110"/>
    <s v="0110"/>
    <x v="2"/>
    <d v="2022-01-26T00:00:00"/>
    <x v="1"/>
    <s v="GAA0108"/>
    <s v="FR-300-GAA-0034-2022"/>
    <s v="N/A"/>
    <s v="Levantamientos planimetricos y altimetricos topograficos año 2022, para proyectos priorizados GUENAA de acueducto y alcantarillado"/>
    <n v="119987700"/>
    <m/>
    <s v="900-IP-0153-2022"/>
    <s v="IP-"/>
    <n v="202201992"/>
    <m/>
    <s v="N/A"/>
    <s v="N/A"/>
    <s v="N/A"/>
    <x v="2"/>
    <x v="18"/>
    <d v="2022-01-26T00:00:00"/>
    <e v="#VALUE!"/>
    <e v="#VALUE!"/>
    <s v="NO"/>
    <s v="Devuelto"/>
    <x v="2"/>
    <m/>
    <s v="28 de enero en cotizaciones "/>
    <d v="2022-02-17T00:00:00"/>
    <m/>
    <s v="feb"/>
    <n v="22"/>
    <n v="22"/>
    <s v="G"/>
    <s v="FUNCIONAMIENTO"/>
    <m/>
    <m/>
    <m/>
    <m/>
    <m/>
    <n v="119987700"/>
    <m/>
    <m/>
    <m/>
    <m/>
    <m/>
    <m/>
    <m/>
    <m/>
    <m/>
    <n v="1"/>
    <m/>
    <m/>
  </r>
  <r>
    <n v="111"/>
    <s v="0111"/>
    <x v="2"/>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x v="18"/>
    <d v="2022-01-26T00:00:00"/>
    <e v="#VALUE!"/>
    <e v="#VALUE!"/>
    <s v="NO"/>
    <s v="Devuelto"/>
    <x v="2"/>
    <m/>
    <s v="28 de enero en cotizaciones "/>
    <d v="2022-01-28T00:00:00"/>
    <m/>
    <s v="ene"/>
    <n v="2"/>
    <n v="2"/>
    <s v="G"/>
    <s v="FUNCIONAMIENTO"/>
    <m/>
    <m/>
    <m/>
    <m/>
    <m/>
    <n v="99995700"/>
    <m/>
    <m/>
    <m/>
    <m/>
    <m/>
    <m/>
    <m/>
    <m/>
    <m/>
    <n v="1"/>
    <m/>
    <m/>
  </r>
  <r>
    <n v="112"/>
    <s v="0112"/>
    <x v="6"/>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x v="3"/>
    <d v="2022-01-26T00:00:00"/>
    <e v="#VALUE!"/>
    <e v="#VALUE!"/>
    <s v="NO"/>
    <s v="Devuelto"/>
    <x v="2"/>
    <m/>
    <m/>
    <d v="2022-01-26T00:00:00"/>
    <m/>
    <s v="ene"/>
    <n v="0"/>
    <n v="0"/>
    <s v="G"/>
    <s v="FUNCIONAMIENTO"/>
    <m/>
    <m/>
    <m/>
    <m/>
    <m/>
    <n v="230000000"/>
    <m/>
    <m/>
    <m/>
    <m/>
    <m/>
    <m/>
    <m/>
    <m/>
    <m/>
    <n v="0"/>
    <m/>
    <m/>
  </r>
  <r>
    <n v="113"/>
    <s v="0113"/>
    <x v="2"/>
    <d v="2022-01-27T00:00:00"/>
    <x v="1"/>
    <s v="GAA0298"/>
    <s v="FR-300-GAA-0036-2022"/>
    <s v="N/A"/>
    <s v="Reparación de daños en red matriz mayores o iguales a 12&quot;"/>
    <n v="499993357"/>
    <s v="4 Meses"/>
    <s v="900-IP-0151-2022"/>
    <m/>
    <n v="202202301"/>
    <n v="500000000"/>
    <s v="N/A"/>
    <s v="N/A"/>
    <m/>
    <x v="2"/>
    <x v="4"/>
    <d v="2022-01-27T00:00:00"/>
    <m/>
    <m/>
    <m/>
    <s v="Entregado al area"/>
    <x v="1"/>
    <m/>
    <m/>
    <d v="2022-02-15T00:00:00"/>
    <s v="Jan"/>
    <m/>
    <n v="19"/>
    <n v="19"/>
    <s v="G"/>
    <s v="FUNCIONAMIENTO"/>
    <s v="300-AO-1343-2022"/>
    <d v="2022-01-27T00:00:00"/>
    <n v="497493391"/>
    <s v="CMO CONTRATISTAS MANO DE OBRA SAS"/>
    <m/>
    <n v="2499966"/>
    <m/>
    <m/>
    <s v="N/A"/>
    <s v="N/A"/>
    <m/>
    <s v="CALI"/>
    <s v="LOCAL"/>
    <m/>
    <n v="4.9999984299791411E-3"/>
    <n v="1"/>
    <n v="1"/>
    <n v="13"/>
  </r>
  <r>
    <n v="114"/>
    <s v="0114"/>
    <x v="6"/>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x v="3"/>
    <d v="2022-01-27T00:00:00"/>
    <m/>
    <m/>
    <m/>
    <s v="Entregado al area"/>
    <x v="1"/>
    <s v="28 DE ENERO EN ELABOACION DE LA EVALUACION"/>
    <m/>
    <d v="2022-02-08T00:00:00"/>
    <s v="Jan"/>
    <m/>
    <n v="12"/>
    <n v="12"/>
    <s v="G"/>
    <s v="FUNCIONAMIENTO"/>
    <s v="200-AO-1515-2022"/>
    <d v="2022-01-28T00:00:00"/>
    <n v="385400000"/>
    <s v="OPTIMAL TECHNOLOGY SAS"/>
    <m/>
    <n v="4600000"/>
    <m/>
    <m/>
    <s v="N/A"/>
    <s v="N/A"/>
    <m/>
    <s v="CALI"/>
    <s v="LOCAL"/>
    <m/>
    <n v="1.1794871794871795E-2"/>
    <n v="0"/>
    <n v="1"/>
    <n v="8"/>
  </r>
  <r>
    <n v="115"/>
    <s v="0115"/>
    <x v="5"/>
    <d v="2022-01-27T00:00:00"/>
    <x v="1"/>
    <s v="GHA1600"/>
    <s v="FR-800-GAGHA-0095-2022"/>
    <s v="N/A"/>
    <s v="Compra de jabón líquido espumoso para manos"/>
    <n v="199992024"/>
    <s v="30 de julio 2022"/>
    <m/>
    <s v=""/>
    <n v="202201122"/>
    <n v="200571511"/>
    <s v="N/A"/>
    <s v="N/A"/>
    <s v="N/A"/>
    <x v="3"/>
    <x v="7"/>
    <d v="2022-01-27T00:00:00"/>
    <e v="#VALUE!"/>
    <e v="#VALUE!"/>
    <s v="NO"/>
    <s v="Devuelto"/>
    <x v="2"/>
    <m/>
    <s v="28 de enero en elabroacion de fpa e invitacion_x000a_31 DE ENERO DEVUELTO AL AREA POR CUMPLIMIENTO DE PLAZO LEY DE GARANTIAS"/>
    <d v="2022-01-31T00:00:00"/>
    <m/>
    <s v="ene"/>
    <n v="4"/>
    <n v="4"/>
    <s v="G"/>
    <s v="FUNCIONAMIENTO"/>
    <m/>
    <m/>
    <m/>
    <m/>
    <m/>
    <n v="199992024"/>
    <m/>
    <m/>
    <m/>
    <m/>
    <m/>
    <m/>
    <m/>
    <m/>
    <m/>
    <n v="0"/>
    <m/>
    <m/>
  </r>
  <r>
    <n v="116"/>
    <s v="0116"/>
    <x v="5"/>
    <d v="2022-01-27T00:00:00"/>
    <x v="1"/>
    <s v="GHA0006"/>
    <s v="FR-800-GAGHA-0121-2022"/>
    <s v="N/A"/>
    <s v="Realizar piezas publicitarias para la campaña de comunicación del proyecto de implementación del sistema integral de gestión de activos SIGA."/>
    <n v="69888700"/>
    <m/>
    <m/>
    <s v=""/>
    <n v="202201939"/>
    <m/>
    <s v="N/A"/>
    <s v="N/A"/>
    <s v="N/A"/>
    <x v="3"/>
    <x v="12"/>
    <d v="2022-01-27T00:00:00"/>
    <e v="#VALUE!"/>
    <e v="#VALUE!"/>
    <s v="NO"/>
    <s v="Devuelto"/>
    <x v="2"/>
    <m/>
    <s v="28 de enero en cotizaciones "/>
    <d v="2022-01-28T00:00:00"/>
    <m/>
    <s v="ene"/>
    <n v="1"/>
    <n v="1"/>
    <s v="G"/>
    <s v="FUNCIONAMIENTO"/>
    <m/>
    <m/>
    <m/>
    <m/>
    <m/>
    <n v="69888700"/>
    <m/>
    <m/>
    <m/>
    <m/>
    <m/>
    <m/>
    <m/>
    <m/>
    <m/>
    <n v="0"/>
    <m/>
    <m/>
  </r>
  <r>
    <n v="117"/>
    <s v="0117"/>
    <x v="1"/>
    <d v="2022-01-27T00:00:00"/>
    <x v="1"/>
    <s v="GE0230"/>
    <s v="FR-500-GE-0161-2022"/>
    <s v="N/A"/>
    <s v="Suministro de protecciones"/>
    <n v="157827595"/>
    <s v="60 dias "/>
    <m/>
    <s v=""/>
    <n v="202202372"/>
    <n v="157827595"/>
    <s v="N/A"/>
    <s v="N/A"/>
    <s v="N/A"/>
    <x v="4"/>
    <x v="2"/>
    <d v="2022-01-27T00:00:00"/>
    <e v="#VALUE!"/>
    <e v="#VALUE!"/>
    <s v="NO"/>
    <s v="Devuelto"/>
    <x v="2"/>
    <m/>
    <s v="28 DE ENERO EN COTIZACIONES_x000a_"/>
    <d v="2022-01-31T00:00:00"/>
    <m/>
    <s v="ene"/>
    <n v="4"/>
    <n v="4"/>
    <s v="G"/>
    <s v="FUNCIONAMIENTO"/>
    <m/>
    <m/>
    <m/>
    <m/>
    <m/>
    <n v="157827595"/>
    <m/>
    <m/>
    <m/>
    <m/>
    <m/>
    <m/>
    <m/>
    <m/>
    <m/>
    <n v="1"/>
    <m/>
    <m/>
  </r>
  <r>
    <n v="118"/>
    <s v="0118"/>
    <x v="1"/>
    <d v="2022-01-27T00:00:00"/>
    <x v="1"/>
    <s v="GE0215"/>
    <s v="FR-500-GE-0177-2022"/>
    <s v="N/A"/>
    <s v="Suministro de aisladores electricos"/>
    <n v="36899520"/>
    <m/>
    <m/>
    <s v=""/>
    <n v="202202298"/>
    <m/>
    <s v="N/A"/>
    <s v="N/A"/>
    <s v="N/A"/>
    <x v="3"/>
    <x v="13"/>
    <d v="2022-01-27T00:00:00"/>
    <e v="#VALUE!"/>
    <e v="#VALUE!"/>
    <s v="NO"/>
    <s v="Devuelto"/>
    <x v="2"/>
    <m/>
    <s v="28 de enero en solicitud de conceptos_x000a_28 DE ENERO SE DEVUELVE POR VENCIMIENTO DE PLAZO DE LEY DE GARANTIAS"/>
    <d v="2022-01-28T00:00:00"/>
    <m/>
    <s v="ene"/>
    <n v="1"/>
    <n v="1"/>
    <s v="G"/>
    <s v="FUNCIONAMIENTO"/>
    <m/>
    <m/>
    <m/>
    <m/>
    <m/>
    <n v="36899520"/>
    <m/>
    <m/>
    <m/>
    <m/>
    <m/>
    <m/>
    <m/>
    <m/>
    <m/>
    <n v="1"/>
    <m/>
    <m/>
  </r>
  <r>
    <n v="119"/>
    <s v="0119"/>
    <x v="1"/>
    <d v="2022-01-27T00:00:00"/>
    <x v="1"/>
    <s v="GE0184"/>
    <s v="FR-500-GE-0187-2022"/>
    <s v="N/A"/>
    <s v="Mnatenimiento general de las plantas de emergencia de las Subestaciones de Energía del Sistema de Distribución de Local de EMCALI EICE ESP."/>
    <n v="95200000"/>
    <m/>
    <s v="900-IP-0119-2022"/>
    <s v="IP-"/>
    <n v="202202439"/>
    <m/>
    <s v="N/A"/>
    <s v="N/A"/>
    <s v="N/A"/>
    <x v="2"/>
    <x v="13"/>
    <d v="2022-01-27T00:00:00"/>
    <e v="#VALUE!"/>
    <e v="#VALUE!"/>
    <s v="NO"/>
    <s v="Devuelto"/>
    <x v="2"/>
    <m/>
    <s v="28 de enero en solicitud de conceptos_x000a_28 DE ENERO SE DEVUELVE POR PLAZO DE CUMPLIMIENTO DE LEY DE GARANTIAS"/>
    <d v="2022-01-28T00:00:00"/>
    <m/>
    <s v="ene"/>
    <n v="1"/>
    <n v="1"/>
    <s v="G"/>
    <s v="FUNCIONAMIENTO"/>
    <m/>
    <m/>
    <m/>
    <m/>
    <m/>
    <n v="95200000"/>
    <m/>
    <m/>
    <m/>
    <m/>
    <m/>
    <m/>
    <m/>
    <m/>
    <m/>
    <n v="1"/>
    <m/>
    <m/>
  </r>
  <r>
    <n v="120"/>
    <s v="0120"/>
    <x v="1"/>
    <d v="2022-01-27T00:00:00"/>
    <x v="1"/>
    <s v="GE0311"/>
    <s v="FR-500-GE-0118-2022"/>
    <s v="N/A"/>
    <s v="Suministro de CONECTORES, de acuerdo con las condiciones y especificaciones técnicas."/>
    <n v="60695367"/>
    <s v="31 de diciembre 2022"/>
    <s v="900-IP-0113-2021"/>
    <m/>
    <n v="202201916"/>
    <n v="152821240"/>
    <s v="N/A"/>
    <s v="N/A"/>
    <m/>
    <x v="2"/>
    <x v="13"/>
    <d v="2022-01-27T00:00:00"/>
    <m/>
    <m/>
    <m/>
    <s v="Entregado al area"/>
    <x v="1"/>
    <m/>
    <m/>
    <d v="2022-02-08T00:00:00"/>
    <s v="Jan"/>
    <m/>
    <n v="12"/>
    <n v="12"/>
    <s v="G"/>
    <s v="OPERACIÓN_x000a_FUNCIONAMIENTO_x000a_INVERSION"/>
    <s v="500-AO-1507-2022"/>
    <d v="2022-01-28T00:00:00"/>
    <n v="60695367"/>
    <s v="PROELCO SAS"/>
    <m/>
    <n v="0"/>
    <m/>
    <m/>
    <s v="2022-024"/>
    <d v="2022-01-19T00:00:00"/>
    <m/>
    <s v="BOGOTA"/>
    <s v="NACIONAL"/>
    <m/>
    <n v="0"/>
    <n v="1"/>
    <n v="1"/>
    <n v="8"/>
  </r>
  <r>
    <n v="121"/>
    <s v="0164"/>
    <x v="2"/>
    <d v="2022-02-01T00:00:00"/>
    <x v="2"/>
    <s v="GAA0349"/>
    <s v="FR-300-GAA-0040-2022"/>
    <s v="N/A"/>
    <s v="Suministro de rejillas para sumideros en polimero de 8 huecos"/>
    <n v="119148750"/>
    <m/>
    <s v="900-IPU-0164-2022"/>
    <s v="IPU"/>
    <n v="202201931"/>
    <m/>
    <s v="N/A"/>
    <s v="N/A"/>
    <s v="Menor cuantia"/>
    <x v="0"/>
    <x v="13"/>
    <d v="2022-02-03T00:00:00"/>
    <e v="#VALUE!"/>
    <e v="#VALUE!"/>
    <s v="NO"/>
    <s v="Cerrado"/>
    <x v="0"/>
    <m/>
    <s v="se unio en el proceso 196"/>
    <m/>
    <m/>
    <s v=""/>
    <n v="-44593"/>
    <n v="-44595"/>
    <m/>
    <s v="FUNCIONAMIENTO"/>
    <m/>
    <m/>
    <m/>
    <m/>
    <m/>
    <m/>
    <n v="119148750"/>
    <m/>
    <m/>
    <m/>
    <m/>
    <m/>
    <m/>
    <m/>
    <m/>
    <n v="1"/>
    <m/>
    <m/>
  </r>
  <r>
    <n v="122"/>
    <s v="0165"/>
    <x v="2"/>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x v="4"/>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m/>
    <s v="abr"/>
    <n v="63"/>
    <n v="63"/>
    <m/>
    <s v="INVERSION"/>
    <m/>
    <m/>
    <m/>
    <m/>
    <m/>
    <m/>
    <n v="200500000"/>
    <m/>
    <m/>
    <m/>
    <m/>
    <m/>
    <m/>
    <m/>
    <m/>
    <n v="1"/>
    <m/>
    <m/>
  </r>
  <r>
    <n v="123"/>
    <s v="0166"/>
    <x v="2"/>
    <d v="2022-02-03T00:00:00"/>
    <x v="2"/>
    <s v="GAA0348"/>
    <s v="FR-300-GAA-0045-2022"/>
    <s v="N/A"/>
    <s v="Suministro de rejillas concreto reforzado para el mantenimiento de las redes de alcantarillado operadas por EMCALI"/>
    <n v="304203270"/>
    <m/>
    <s v="900-IPU-0166-2022"/>
    <s v="IPU"/>
    <n v="202201930"/>
    <m/>
    <s v="N/A"/>
    <s v="N/A"/>
    <s v="Menor cuantia"/>
    <x v="0"/>
    <x v="13"/>
    <d v="2022-02-03T00:00:00"/>
    <e v="#VALUE!"/>
    <e v="#VALUE!"/>
    <s v="NO"/>
    <s v="Cerrado"/>
    <x v="0"/>
    <m/>
    <s v="se unio en el proceso 196"/>
    <m/>
    <m/>
    <s v=""/>
    <n v="-44595"/>
    <n v="-44595"/>
    <m/>
    <s v="FUNCIONAMIENTO"/>
    <m/>
    <m/>
    <m/>
    <m/>
    <m/>
    <m/>
    <n v="304203270"/>
    <m/>
    <m/>
    <m/>
    <m/>
    <m/>
    <m/>
    <m/>
    <m/>
    <n v="1"/>
    <m/>
    <m/>
  </r>
  <r>
    <n v="124"/>
    <s v="0167"/>
    <x v="2"/>
    <d v="2022-02-03T00:00:00"/>
    <x v="2"/>
    <s v="GAA0402"/>
    <s v="FR-300-GAA-0041-2022"/>
    <s v="300-CMA-1243-2020"/>
    <s v="Suministro de cloruro férrico en base líquida al 42% para ser utilizado en el tratamiento de las aguas residuales en la PTAR C."/>
    <n v="472775520"/>
    <s v="150 dias"/>
    <s v="N/A"/>
    <m/>
    <n v="202201853"/>
    <m/>
    <s v="N/A"/>
    <s v="N/A"/>
    <m/>
    <x v="1"/>
    <x v="15"/>
    <d v="2022-02-03T00:00:00"/>
    <m/>
    <m/>
    <m/>
    <s v="Entregado al area"/>
    <x v="1"/>
    <m/>
    <m/>
    <d v="2022-02-24T00:00:00"/>
    <s v="Feb"/>
    <m/>
    <n v="21"/>
    <n v="21"/>
    <s v="N/A"/>
    <s v="FUNCIONAMIENTO"/>
    <s v="300-CMA-1243-2020/300-AO-1676-2022"/>
    <d v="2022-02-10T00:00:00"/>
    <n v="472353399"/>
    <s v="QUIMPAC COLOMBIA SA"/>
    <m/>
    <n v="422121"/>
    <m/>
    <m/>
    <s v="N/A"/>
    <s v="N/A"/>
    <m/>
    <s v="YUMBO"/>
    <s v="MUNICIPAL"/>
    <m/>
    <n v="8.9285714285714283E-4"/>
    <n v="1"/>
    <n v="0"/>
    <n v="21"/>
  </r>
  <r>
    <n v="125"/>
    <s v="0168"/>
    <x v="2"/>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x v="15"/>
    <d v="2022-02-03T00:00:00"/>
    <e v="#REF!"/>
    <e v="#REF!"/>
    <s v="SI"/>
    <s v="Entregado al area"/>
    <x v="1"/>
    <s v="31 DE MARZO ADELANTANDO OTRO SI PARA AJUSTE DE PRECIOS_x000a_20 DE ABRIL ESPERANDO EN SOLICITUD DE RP_x000a_28 DE ABRIL ENTREGADO AL AREA"/>
    <m/>
    <d v="2022-04-28T00:00:00"/>
    <s v="May"/>
    <m/>
    <n v="84"/>
    <n v="84"/>
    <s v="N/A"/>
    <s v="FUNCIONAMIENTO"/>
    <s v="300-CMA-1242-2020/300-AO-1904-2022"/>
    <d v="2022-04-20T00:00:00"/>
    <n v="748177472"/>
    <s v="SNF COLOMBIA SAS"/>
    <m/>
    <n v="3759427"/>
    <m/>
    <m/>
    <s v="N/A"/>
    <s v="N/A"/>
    <m/>
    <s v="TOCANCIPA"/>
    <s v="NACIONAL"/>
    <m/>
    <n v="4.9996575577015276E-3"/>
    <n v="1"/>
    <n v="0"/>
    <n v="84"/>
  </r>
  <r>
    <n v="126"/>
    <s v="0169"/>
    <x v="2"/>
    <d v="2022-02-03T00:00:00"/>
    <x v="2"/>
    <s v="GAA0404"/>
    <s v="FR-300-GAA-0043-2022"/>
    <s v="300-CMA-1242-2020"/>
    <s v="Suministro de polímero ayudante de floculación para ser utilizado en el tratamiento de las aguas residuales en la PTAR C."/>
    <n v="29768016"/>
    <m/>
    <s v="N/A"/>
    <m/>
    <n v="202201855"/>
    <m/>
    <s v="N/A"/>
    <s v="N/A"/>
    <s v="N/A"/>
    <x v="1"/>
    <x v="15"/>
    <d v="2022-02-03T00:00:00"/>
    <e v="#REF!"/>
    <e v="#REF!"/>
    <s v="SI"/>
    <s v="Entregado al area"/>
    <x v="1"/>
    <s v="31 DE MARZO ADELANTANDO OTRO SI PARA AJUSTE DE PRECIOS_x000a_20 DE ABRIL ESPERANDO EN SOLICITUD DE RP"/>
    <m/>
    <d v="2022-04-28T00:00:00"/>
    <s v="May"/>
    <m/>
    <n v="84"/>
    <n v="84"/>
    <s v="N/A"/>
    <s v="FUNCIONAMIENTO"/>
    <s v="300-CMA-1242-2020/300-AO-1904-2022"/>
    <d v="2022-04-20T00:00:00"/>
    <n v="29620147"/>
    <s v="SNF COLOMBIA SAS"/>
    <m/>
    <n v="147869"/>
    <m/>
    <m/>
    <m/>
    <m/>
    <m/>
    <m/>
    <m/>
    <m/>
    <n v="4.9673784104389083E-3"/>
    <n v="1"/>
    <n v="0"/>
    <n v="84"/>
  </r>
  <r>
    <n v="127"/>
    <s v="0170"/>
    <x v="2"/>
    <d v="2022-02-03T00:00:00"/>
    <x v="2"/>
    <s v="GAA0405"/>
    <s v="FR-300-GAA-0044-2022"/>
    <s v="300-CMA-1240-2020"/>
    <s v="Suministro de producto para control de olores en el tratamiento de las aguas residuales de la PTAR C."/>
    <n v="11099852"/>
    <s v="150 dias"/>
    <s v="N/A"/>
    <m/>
    <n v="202201856"/>
    <m/>
    <s v="N/A"/>
    <s v="N/A"/>
    <m/>
    <x v="1"/>
    <x v="15"/>
    <d v="2022-02-03T00:00:00"/>
    <m/>
    <m/>
    <m/>
    <s v="Entregado al area"/>
    <x v="1"/>
    <m/>
    <m/>
    <d v="2022-02-28T00:00:00"/>
    <s v="Feb"/>
    <m/>
    <n v="25"/>
    <n v="25"/>
    <s v="N/A"/>
    <s v="FUNCIONAMIENTO"/>
    <s v="300-CMA-1240-2020/300-AO-1677-2022"/>
    <d v="2022-02-17T00:00:00"/>
    <n v="11043096"/>
    <s v="PROAQO INGENIERIA  SAS"/>
    <m/>
    <n v="56756"/>
    <m/>
    <m/>
    <s v="N/A"/>
    <s v="N/A"/>
    <m/>
    <s v="BOGOTA"/>
    <s v="NACIONAL"/>
    <m/>
    <n v="5.1132213294375461E-3"/>
    <n v="1"/>
    <n v="0"/>
    <n v="25"/>
  </r>
  <r>
    <n v="128"/>
    <s v="0171"/>
    <x v="2"/>
    <d v="2022-02-07T00:00:00"/>
    <x v="2"/>
    <s v="GAA0347"/>
    <s v="FR-300-GAA-0046-2022"/>
    <s v="300-CMA-1974-2020"/>
    <s v="Compra de herramientas para la reparación de daños servicio de alcantarillado PUNTAS ROMPEPAVIMENTO"/>
    <n v="43271668"/>
    <s v="2 meses"/>
    <s v="N/A"/>
    <m/>
    <n v="202201929"/>
    <m/>
    <s v="N/A"/>
    <s v="N/A"/>
    <s v="N/A"/>
    <x v="1"/>
    <x v="15"/>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s v="Jun"/>
    <m/>
    <n v="119"/>
    <n v="119"/>
    <s v="N/A"/>
    <s v="FUNCIONAMIENTO"/>
    <s v="300-CMA-1974-2020/300-AO-1925-2022"/>
    <d v="2022-05-23T00:00:00"/>
    <n v="42033077"/>
    <s v="EQUIPOS Y HERRAMIENTAS INDUSTRIALES SAS"/>
    <n v="202205478"/>
    <n v="1238591"/>
    <m/>
    <m/>
    <s v="2022-046"/>
    <d v="2022-01-25T00:00:00"/>
    <m/>
    <s v="CALI"/>
    <s v="LOCAL"/>
    <s v="UNIDAD DE RECOLECCION"/>
    <n v="2.8623601937415494E-2"/>
    <n v="1"/>
    <n v="0"/>
    <n v="119"/>
  </r>
  <r>
    <n v="129"/>
    <s v="0172"/>
    <x v="2"/>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x v="1"/>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s v="Jun"/>
    <m/>
    <n v="126"/>
    <n v="115"/>
    <s v="N/A"/>
    <s v="FUNCIONAMIENTO"/>
    <s v="300-AO-1927-2022"/>
    <d v="2022-05-18T00:00:00"/>
    <n v="737800000"/>
    <s v="SG INGENIERIA EN DUCTOS SA"/>
    <n v="202205488"/>
    <n v="31437672"/>
    <m/>
    <m/>
    <m/>
    <m/>
    <m/>
    <s v="BOGOTA"/>
    <s v="NACIONAL"/>
    <m/>
    <n v="4.0868606861469467E-2"/>
    <n v="1"/>
    <n v="2"/>
    <n v="111"/>
  </r>
  <r>
    <n v="130"/>
    <s v="0173"/>
    <x v="2"/>
    <d v="2022-02-10T00:00:00"/>
    <x v="2"/>
    <s v="GAA0264"/>
    <s v="FR-300-GAA-0049-2022"/>
    <s v="N/A"/>
    <s v="Mantenimiento y calibración sistemas de pesaje plantas de tratamiento de agua potable"/>
    <n v="29720250"/>
    <m/>
    <s v="900-IPU-0173-2022"/>
    <s v="IPU"/>
    <n v="202200893"/>
    <m/>
    <s v="N/A"/>
    <s v="N/A"/>
    <s v="Menor cuantia"/>
    <x v="0"/>
    <x v="8"/>
    <d v="2022-02-10T00:00:00"/>
    <e v="#VALUE!"/>
    <e v="#VALUE!"/>
    <s v="NO"/>
    <s v="Cerrado"/>
    <x v="0"/>
    <m/>
    <s v="23 de marzo en adenda de modificacion de plazo_x000a_31 DE MARZO SE CERRO EL PROCESO NO SE PRESENTO PROPONENTE"/>
    <d v="2022-03-31T00:00:00"/>
    <m/>
    <s v="mar"/>
    <n v="49"/>
    <n v="49"/>
    <m/>
    <s v="FUNCIONAMIENTO"/>
    <m/>
    <m/>
    <m/>
    <m/>
    <m/>
    <m/>
    <n v="29720250"/>
    <m/>
    <m/>
    <m/>
    <m/>
    <m/>
    <m/>
    <m/>
    <m/>
    <n v="1"/>
    <m/>
    <m/>
  </r>
  <r>
    <n v="131"/>
    <s v="0174"/>
    <x v="0"/>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x v="5"/>
    <d v="2022-02-14T00:00:00"/>
    <e v="#REF!"/>
    <e v="#REF!"/>
    <s v="SI"/>
    <s v="Entregado al area"/>
    <x v="1"/>
    <s v="23 de marzo esperando polizas del proveedor"/>
    <m/>
    <d v="2022-03-31T00:00:00"/>
    <s v="Mar"/>
    <m/>
    <n v="45"/>
    <n v="45"/>
    <s v="N/A"/>
    <s v="FUNCIONAMIENTO"/>
    <s v="500-CMA-1743-2021/400-AO-1684-2022"/>
    <d v="2022-03-16T00:00:00"/>
    <n v="1273355871"/>
    <s v="CENTELSA SA"/>
    <m/>
    <n v="90326771"/>
    <m/>
    <m/>
    <s v="N/A"/>
    <s v="N/A"/>
    <m/>
    <s v="YUMBO"/>
    <s v="MUNICIPAL"/>
    <m/>
    <n v="6.6237384137650401E-2"/>
    <n v="1"/>
    <n v="0"/>
    <n v="45"/>
  </r>
  <r>
    <n v="132"/>
    <s v="0175"/>
    <x v="6"/>
    <d v="2022-02-15T00:00:00"/>
    <x v="2"/>
    <s v="GTI0019"/>
    <s v="FR-200-GTI-0013-2022"/>
    <s v="N/A"/>
    <s v="Suscripción de una plataforma integral de mensajería, correo electrónico y trabajo colaborativo en la Nube."/>
    <n v="1222350357"/>
    <m/>
    <s v="900-IPU-0175-2022"/>
    <s v="IPU"/>
    <n v="202202134"/>
    <m/>
    <s v="N/A"/>
    <s v="N/A"/>
    <s v="Mayor cuantia"/>
    <x v="0"/>
    <x v="3"/>
    <d v="2022-02-15T00:00:00"/>
    <e v="#VALUE!"/>
    <e v="#VALUE!"/>
    <s v="NO"/>
    <s v="Cerrado"/>
    <x v="0"/>
    <m/>
    <m/>
    <d v="2022-02-15T00:00:00"/>
    <m/>
    <s v="feb"/>
    <n v="0"/>
    <n v="0"/>
    <m/>
    <s v="FUNCIONAMIENTO"/>
    <m/>
    <m/>
    <m/>
    <m/>
    <m/>
    <m/>
    <n v="1222350357"/>
    <m/>
    <m/>
    <m/>
    <m/>
    <m/>
    <m/>
    <m/>
    <m/>
    <n v="0"/>
    <m/>
    <m/>
  </r>
  <r>
    <n v="133"/>
    <s v="0176"/>
    <x v="6"/>
    <d v="2022-02-15T00:00:00"/>
    <x v="2"/>
    <s v="GTI0003"/>
    <s v="FR-200-GTI-0092-2022"/>
    <s v="N/A"/>
    <s v="Adquirir e implementar PURE STORAGE crecimiento Scale-Out X50r3 /c40R3 247TB"/>
    <n v="1510200000"/>
    <s v="3 Meses"/>
    <s v="900-IPU-0176-2022"/>
    <m/>
    <n v="202202601"/>
    <n v="1510200000"/>
    <s v="N/A"/>
    <s v="N/A"/>
    <s v="Mayor cuantia"/>
    <x v="0"/>
    <x v="3"/>
    <d v="2022-02-15T00:00:00"/>
    <n v="107"/>
    <n v="107"/>
    <s v="SI"/>
    <s v="Entregado al area"/>
    <x v="1"/>
    <s v="31 de marzo esperando las polizas por parte del proveedor_x000a_6 ABRIL ENTREGADO AL AREA"/>
    <m/>
    <d v="2022-04-06T00:00:00"/>
    <s v="May"/>
    <m/>
    <n v="50"/>
    <n v="50"/>
    <s v="N/A"/>
    <s v="FUNCIONAMIENTO"/>
    <s v="200-AO-1891-2022"/>
    <d v="2022-03-30T00:00:00"/>
    <n v="1510199964"/>
    <s v="NOVOPANGEA GROUP SAS"/>
    <m/>
    <n v="36"/>
    <m/>
    <m/>
    <s v="N/A"/>
    <s v="N/A"/>
    <m/>
    <s v="CALI"/>
    <s v="LOCAL"/>
    <m/>
    <n v="2.3837902264600715E-8"/>
    <n v="0"/>
    <n v="2"/>
    <n v="50"/>
  </r>
  <r>
    <n v="134"/>
    <s v="0177"/>
    <x v="2"/>
    <d v="2022-02-16T00:00:00"/>
    <x v="2"/>
    <s v="GAA0275"/>
    <s v="FR-300-GAA-0053-2022"/>
    <s v="N/A"/>
    <s v="Suministro de varillas para operación de valvulas de la red matriz de acueducto"/>
    <n v="9090372"/>
    <m/>
    <s v="N/A"/>
    <s v=""/>
    <n v="202200778"/>
    <m/>
    <s v="N/A"/>
    <s v="N/A"/>
    <s v="N/A"/>
    <x v="3"/>
    <x v="15"/>
    <d v="2022-02-16T00:00:00"/>
    <e v="#VALUE!"/>
    <e v="#VALUE!"/>
    <s v="NO"/>
    <s v="Devuelto"/>
    <x v="2"/>
    <m/>
    <m/>
    <d v="2022-07-01T00:00:00"/>
    <m/>
    <s v="jul"/>
    <n v="135"/>
    <n v="135"/>
    <m/>
    <s v="FUNCIONAMIENTO"/>
    <m/>
    <m/>
    <m/>
    <m/>
    <m/>
    <n v="9090372"/>
    <m/>
    <m/>
    <m/>
    <m/>
    <m/>
    <m/>
    <m/>
    <m/>
    <m/>
    <n v="1"/>
    <m/>
    <m/>
  </r>
  <r>
    <n v="135"/>
    <s v="0178"/>
    <x v="2"/>
    <d v="2022-02-16T00:00:00"/>
    <x v="2"/>
    <s v="GAA0277"/>
    <s v="FR-300-GAA-0054-2022"/>
    <s v="N/A"/>
    <s v="Compra de cartas graficas circulares para registradores ref 4686 x 100 UND"/>
    <n v="4961235"/>
    <m/>
    <s v="900-IPU-0178-2022"/>
    <s v="IPU"/>
    <n v="202200780"/>
    <m/>
    <s v="N/A"/>
    <s v="N/A"/>
    <s v="Menor cuantia"/>
    <x v="0"/>
    <x v="7"/>
    <d v="2022-02-16T00:00:00"/>
    <e v="#VALUE!"/>
    <e v="#VALUE!"/>
    <s v="NO"/>
    <s v="Cerrado"/>
    <x v="0"/>
    <m/>
    <s v="23 de marzo en respuestas a observaciones_x000a_31 de marzo se cierra porque el proveedor no cumple "/>
    <d v="2022-03-31T00:00:00"/>
    <m/>
    <s v="mar"/>
    <n v="43"/>
    <n v="43"/>
    <m/>
    <s v="FUNCIONAMIENTO"/>
    <m/>
    <m/>
    <m/>
    <m/>
    <m/>
    <m/>
    <n v="4961235"/>
    <m/>
    <m/>
    <m/>
    <m/>
    <m/>
    <m/>
    <m/>
    <m/>
    <n v="1"/>
    <m/>
    <m/>
  </r>
  <r>
    <n v="136"/>
    <s v="0179"/>
    <x v="2"/>
    <d v="2022-02-16T00:00:00"/>
    <x v="2"/>
    <s v="GAA0276"/>
    <s v="FR-300-GAA-0055-2022"/>
    <s v="N/A"/>
    <s v="Mantenimiento de equipos de pruebas hidrostaticas"/>
    <n v="5222524"/>
    <s v="31 de diciembre 2022"/>
    <s v="900-IPU-0179-2022"/>
    <m/>
    <n v="202200779"/>
    <m/>
    <s v="N/A"/>
    <s v="N/A"/>
    <s v="Menor cuantia"/>
    <x v="0"/>
    <x v="16"/>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s v="May"/>
    <m/>
    <n v="100"/>
    <n v="100"/>
    <s v="N/A"/>
    <s v="FUNCIONAMIENTO"/>
    <s v="300-AO-1924-2022"/>
    <d v="2022-05-23T00:00:00"/>
    <n v="5213002"/>
    <s v="LACC INGENIERIA SAS"/>
    <m/>
    <n v="9522"/>
    <m/>
    <m/>
    <s v="N/A"/>
    <s v="N/A"/>
    <m/>
    <s v="CALI"/>
    <s v="LOCAL"/>
    <m/>
    <n v="1.8232563411867519E-3"/>
    <n v="1"/>
    <n v="2"/>
    <n v="100"/>
  </r>
  <r>
    <n v="137"/>
    <s v="0180"/>
    <x v="2"/>
    <d v="2022-02-16T00:00:00"/>
    <x v="2"/>
    <s v="GAA0274"/>
    <s v="FR-300-GAA-0056-2022"/>
    <s v="N/A"/>
    <s v="Mantenimiento de las casetas de protección"/>
    <n v="5580200"/>
    <m/>
    <s v="900-IPU-0180-2022"/>
    <s v="IPU"/>
    <n v="202200777"/>
    <m/>
    <s v="N/A"/>
    <s v="N/A"/>
    <s v="Menor cuantia"/>
    <x v="0"/>
    <x v="18"/>
    <d v="2022-02-16T00:00:00"/>
    <e v="#VALUE!"/>
    <e v="#VALUE!"/>
    <s v="NO"/>
    <s v="Cerrado"/>
    <x v="0"/>
    <m/>
    <s v="24 de marzo en recepcion de ofertas_x000a_31 DE MARZO SE CIERRA PORQUE NADIE PRESENTO OFERTAS"/>
    <d v="2022-04-08T00:00:00"/>
    <m/>
    <s v="abr"/>
    <n v="51"/>
    <n v="51"/>
    <s v="N/A"/>
    <s v="FUNCIONAMIENTO"/>
    <m/>
    <m/>
    <m/>
    <m/>
    <m/>
    <m/>
    <n v="5580200"/>
    <m/>
    <m/>
    <m/>
    <m/>
    <m/>
    <m/>
    <m/>
    <m/>
    <n v="1"/>
    <m/>
    <m/>
  </r>
  <r>
    <n v="138"/>
    <s v="0181"/>
    <x v="2"/>
    <d v="2022-02-17T00:00:00"/>
    <x v="2"/>
    <s v="GAA0267"/>
    <s v="FR-300-GAA-0057-2022"/>
    <s v="N/A"/>
    <s v="Suministro de luminarias LED para PTAP"/>
    <n v="29999960"/>
    <s v="90 dias"/>
    <s v="900-IPU-0181-2022"/>
    <m/>
    <n v="202202192"/>
    <n v="30000000"/>
    <s v="N/A"/>
    <s v="N/A"/>
    <s v="Menor cuantia"/>
    <x v="0"/>
    <x v="2"/>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s v="May"/>
    <m/>
    <n v="64"/>
    <n v="64"/>
    <s v="N/A"/>
    <s v="INVERSION"/>
    <s v="300-AO-1893-2022"/>
    <d v="2022-04-01T00:00:00"/>
    <n v="29988000"/>
    <s v="EQUIPLECO SOLUCION INTEGRAL SAS "/>
    <m/>
    <n v="11960"/>
    <m/>
    <m/>
    <s v="2022-062"/>
    <d v="2022-02-04T00:00:00"/>
    <m/>
    <s v="CALI"/>
    <s v="LOCAL"/>
    <m/>
    <n v="3.9866719822293097E-4"/>
    <n v="1"/>
    <n v="2"/>
    <n v="64"/>
  </r>
  <r>
    <n v="139"/>
    <s v="0182"/>
    <x v="2"/>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x v="13"/>
    <d v="2022-02-25T00:00:00"/>
    <e v="#VALUE!"/>
    <e v="#VALUE!"/>
    <s v="NO"/>
    <s v="Cerrado"/>
    <x v="0"/>
    <m/>
    <s v="31 de marzo en recepcion de ofertas que se reciben el 6 de abril_x000a_7 de abril se cerro el proceso se solicito derivada para sacarlo como invitacion privada"/>
    <d v="2022-04-07T00:00:00"/>
    <m/>
    <s v="abr"/>
    <n v="48"/>
    <n v="41"/>
    <m/>
    <s v="FUNCIONAMIENTO"/>
    <m/>
    <m/>
    <m/>
    <m/>
    <m/>
    <m/>
    <n v="119987700"/>
    <m/>
    <m/>
    <m/>
    <m/>
    <m/>
    <m/>
    <m/>
    <m/>
    <n v="1"/>
    <m/>
    <m/>
  </r>
  <r>
    <n v="140"/>
    <s v="0183"/>
    <x v="2"/>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x v="13"/>
    <d v="2022-02-25T00:00:00"/>
    <e v="#VALUE!"/>
    <e v="#VALUE!"/>
    <s v="NO"/>
    <s v="Cerrado"/>
    <x v="0"/>
    <m/>
    <s v="31 de marzo en recepcion de ofertas que se reciben el 7 de abril_x000a_7 de abril en evaluacion sobre 1"/>
    <d v="2022-04-07T00:00:00"/>
    <m/>
    <s v="abr"/>
    <n v="48"/>
    <n v="41"/>
    <m/>
    <s v="FUNCIONAMIENTO"/>
    <m/>
    <m/>
    <m/>
    <m/>
    <m/>
    <m/>
    <n v="99995700"/>
    <m/>
    <m/>
    <m/>
    <m/>
    <m/>
    <m/>
    <m/>
    <m/>
    <n v="1"/>
    <m/>
    <m/>
  </r>
  <r>
    <n v="141"/>
    <s v="0184"/>
    <x v="7"/>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x v="10"/>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m/>
    <s v="jun"/>
    <n v="107"/>
    <n v="99"/>
    <m/>
    <s v="FUNCIONAMIENTO"/>
    <m/>
    <m/>
    <m/>
    <m/>
    <m/>
    <m/>
    <n v="500000000"/>
    <m/>
    <m/>
    <m/>
    <m/>
    <m/>
    <m/>
    <m/>
    <m/>
    <n v="0"/>
    <m/>
    <m/>
  </r>
  <r>
    <n v="142"/>
    <s v="0185"/>
    <x v="6"/>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x v="1"/>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s v="Jun"/>
    <m/>
    <n v="99"/>
    <n v="97"/>
    <s v="N/A"/>
    <s v="FUNCIONAMIENTO"/>
    <s v="200-AO-1934-2022"/>
    <d v="2022-05-26T00:00:00"/>
    <n v="300000000"/>
    <s v="PC COM SA"/>
    <n v="202205624"/>
    <n v="0"/>
    <m/>
    <m/>
    <s v="N/A"/>
    <s v="N/A"/>
    <m/>
    <s v="BOGOTA"/>
    <s v="NACIONAL "/>
    <m/>
    <n v="0"/>
    <n v="0"/>
    <n v="2"/>
    <n v="99"/>
  </r>
  <r>
    <n v="143"/>
    <s v="0186"/>
    <x v="2"/>
    <d v="2022-02-23T00:00:00"/>
    <x v="2"/>
    <s v="GAA0263"/>
    <s v="FR-300-GAA-0059-2022"/>
    <s v="N/A"/>
    <s v="Mantenimiento sistema Scada a estaciones y plantas de tratamiento de Agua Potable"/>
    <n v="179985537"/>
    <m/>
    <s v="900-IPU-0186-2022"/>
    <s v="IPU"/>
    <n v="202200892"/>
    <m/>
    <s v="N/A"/>
    <s v="N/A"/>
    <s v="Menor cuantia"/>
    <x v="0"/>
    <x v="1"/>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m/>
    <s v="may"/>
    <n v="75"/>
    <n v="73"/>
    <m/>
    <s v="FUNCIONAMIENTO"/>
    <m/>
    <m/>
    <m/>
    <m/>
    <m/>
    <m/>
    <n v="179985537"/>
    <m/>
    <m/>
    <m/>
    <m/>
    <m/>
    <m/>
    <m/>
    <m/>
    <n v="1"/>
    <m/>
    <m/>
  </r>
  <r>
    <n v="144"/>
    <s v="0187"/>
    <x v="2"/>
    <d v="2022-02-23T00:00:00"/>
    <x v="2"/>
    <s v="GAA0253"/>
    <s v="FR-300-GAA-0061-2022"/>
    <s v="N/A"/>
    <s v="Suministro de dos variadores de velocidad de 1250 HP A 4160 Voltios Planta de Puerto Mallarino"/>
    <n v="3058210890"/>
    <m/>
    <s v="900-IPU-0187-2022"/>
    <s v="IPU"/>
    <n v="202202189"/>
    <m/>
    <s v="N/A"/>
    <s v="N/A"/>
    <s v="Mayor cuantia"/>
    <x v="0"/>
    <x v="2"/>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m/>
    <s v="may"/>
    <n v="70"/>
    <n v="68"/>
    <m/>
    <s v="INVERSION"/>
    <m/>
    <m/>
    <m/>
    <m/>
    <m/>
    <m/>
    <n v="3058210890"/>
    <m/>
    <m/>
    <m/>
    <m/>
    <m/>
    <m/>
    <m/>
    <m/>
    <n v="1"/>
    <m/>
    <m/>
  </r>
  <r>
    <n v="145"/>
    <s v="0188"/>
    <x v="2"/>
    <d v="2022-02-23T00:00:00"/>
    <x v="2"/>
    <s v="GAA0258"/>
    <s v="FR-300-GAA-0062-2022"/>
    <s v="N/A"/>
    <s v="Suministro de unidades de bombeo sumergibles PTAP Puerto Mallarino"/>
    <n v="241153500"/>
    <m/>
    <s v="900-IPU-0188-2022"/>
    <m/>
    <n v="202202191"/>
    <m/>
    <s v="N/A"/>
    <s v="N/A"/>
    <s v="Menor cuantia"/>
    <x v="0"/>
    <x v="1"/>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s v="Jun"/>
    <m/>
    <n v="125"/>
    <n v="123"/>
    <s v="N/A"/>
    <s v="INVERSION"/>
    <s v="300-AO-1953-2022"/>
    <d v="2022-05-18T00:00:00"/>
    <n v="238000000"/>
    <s v="CONSORCIO ETEL ABC"/>
    <n v="202205763"/>
    <n v="3153500"/>
    <m/>
    <m/>
    <m/>
    <m/>
    <m/>
    <s v="CALI"/>
    <s v="LOCAL"/>
    <m/>
    <n v="1.3076733283987171E-2"/>
    <n v="1"/>
    <n v="2"/>
    <n v="98"/>
  </r>
  <r>
    <n v="146"/>
    <s v="0189"/>
    <x v="2"/>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x v="1"/>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s v="Jun"/>
    <m/>
    <n v="124"/>
    <n v="119"/>
    <s v="N/A"/>
    <s v="INVERSION"/>
    <s v="300-AO-1954-2022"/>
    <d v="2022-05-18T00:00:00"/>
    <n v="99999999"/>
    <s v="CONSORCIO ETEL ABC"/>
    <n v="202205764"/>
    <n v="1"/>
    <m/>
    <m/>
    <m/>
    <m/>
    <m/>
    <s v="CALI"/>
    <s v="LOCAL"/>
    <m/>
    <n v="1E-8"/>
    <n v="1"/>
    <n v="2"/>
    <n v="97"/>
  </r>
  <r>
    <n v="147"/>
    <s v="0190"/>
    <x v="2"/>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x v="6"/>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m/>
    <s v="may"/>
    <n v="84"/>
    <n v="84"/>
    <s v="G"/>
    <s v="INVERSION"/>
    <m/>
    <m/>
    <m/>
    <m/>
    <m/>
    <m/>
    <n v="109994080"/>
    <m/>
    <m/>
    <m/>
    <m/>
    <m/>
    <m/>
    <m/>
    <m/>
    <n v="1"/>
    <m/>
    <m/>
  </r>
  <r>
    <n v="148"/>
    <s v="0191"/>
    <x v="2"/>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x v="11"/>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m/>
    <s v="may"/>
    <n v="84"/>
    <n v="84"/>
    <m/>
    <s v="FUNCIONAMIENTO"/>
    <m/>
    <m/>
    <m/>
    <m/>
    <m/>
    <m/>
    <n v="149539291"/>
    <m/>
    <m/>
    <m/>
    <m/>
    <m/>
    <m/>
    <m/>
    <m/>
    <n v="1"/>
    <m/>
    <m/>
  </r>
  <r>
    <n v="149"/>
    <s v="0192"/>
    <x v="6"/>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x v="3"/>
    <d v="2022-03-10T00:00:00"/>
    <n v="93"/>
    <n v="84"/>
    <s v="SI"/>
    <s v="Entregado al area"/>
    <x v="1"/>
    <s v="31 de marzo en respuesta a observaciones_x000a_20 DE ABRIL EN SOLICITUD DE SUBSANABLES_x000a_5 DE MAYO EN ESPERA DE LAS POLIZAS_x000a_16 DE MAYO ENTREGADO AL AREA"/>
    <m/>
    <d v="2022-05-16T00:00:00"/>
    <s v="May"/>
    <m/>
    <n v="76"/>
    <n v="67"/>
    <s v="N/A"/>
    <s v="FUNCIONAMIENTO"/>
    <s v="200-AO-1911-2022"/>
    <d v="2022-05-10T00:00:00"/>
    <n v="418285000"/>
    <s v="OPTIMA CONSULTING SAS"/>
    <m/>
    <n v="26715000"/>
    <m/>
    <m/>
    <s v="N/A"/>
    <s v="N/A"/>
    <m/>
    <s v="CALI"/>
    <s v="LOCAL"/>
    <m/>
    <n v="6.003370786516854E-2"/>
    <n v="0"/>
    <n v="2"/>
    <n v="76"/>
  </r>
  <r>
    <n v="150"/>
    <s v="0193"/>
    <x v="6"/>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x v="11"/>
    <d v="2022-03-02T00:00:00"/>
    <e v="#VALUE!"/>
    <e v="#VALUE!"/>
    <s v="NO"/>
    <s v="Cerrado"/>
    <x v="0"/>
    <m/>
    <s v="23 de marzo publicado_x000a_31 DE MARZO CERRADO PORQUE NO SE PRESENTO NINGUN OFERENTE"/>
    <d v="2022-03-31T00:00:00"/>
    <m/>
    <s v="mar"/>
    <n v="30"/>
    <n v="29"/>
    <m/>
    <s v="FUNCIONAMIENTO"/>
    <m/>
    <m/>
    <m/>
    <m/>
    <m/>
    <m/>
    <e v="#VALUE!"/>
    <m/>
    <m/>
    <m/>
    <m/>
    <m/>
    <m/>
    <m/>
    <m/>
    <n v="0"/>
    <m/>
    <m/>
  </r>
  <r>
    <n v="151"/>
    <s v="0194"/>
    <x v="6"/>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x v="3"/>
    <d v="2022-03-02T00:00:00"/>
    <n v="93"/>
    <n v="92"/>
    <s v="SI"/>
    <s v="Entregado al area"/>
    <x v="1"/>
    <s v="31 de marzo listo para legalizar al area_x000a_1 DE ABRIL ENTREGADO AL AREA"/>
    <m/>
    <d v="2022-04-01T00:00:00"/>
    <s v="May"/>
    <m/>
    <n v="31"/>
    <n v="30"/>
    <s v="N/A"/>
    <s v="FUNCIONAMIENTO"/>
    <s v="200-AO-1888-2022"/>
    <d v="2022-03-29T00:00:00"/>
    <n v="2315471332"/>
    <s v="OPEN INTERNATIONAL SAS"/>
    <m/>
    <n v="0"/>
    <m/>
    <m/>
    <s v="N/A"/>
    <s v="N/A"/>
    <m/>
    <s v="CALI"/>
    <s v="LOCAL"/>
    <m/>
    <n v="0"/>
    <n v="0"/>
    <n v="2"/>
    <n v="31"/>
  </r>
  <r>
    <n v="152"/>
    <s v="0195"/>
    <x v="6"/>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x v="3"/>
    <d v="2022-03-10T00:00:00"/>
    <n v="93"/>
    <n v="84"/>
    <s v="SI"/>
    <s v="Entregado al area"/>
    <x v="1"/>
    <s v="31 de marzo en espera de recepcion de ofertas el 5 de abril_x000a_20 DE ABRIL EN EVALIACION SOBRE 1_x000a_entregado al area_x000a_11 DE MAYO ENTREGADO AL AREA"/>
    <m/>
    <d v="2022-05-11T00:00:00"/>
    <s v="May"/>
    <m/>
    <n v="71"/>
    <n v="62"/>
    <s v="N/A"/>
    <s v="FUNCIONAMIENTO"/>
    <s v="200-AO-1910-2022"/>
    <d v="2022-05-03T00:00:00"/>
    <n v="213409840"/>
    <s v="VIVENTI SAS"/>
    <m/>
    <n v="16590160"/>
    <m/>
    <m/>
    <s v="N/A"/>
    <s v="N/A"/>
    <m/>
    <s v="CALI"/>
    <s v="LOCAL"/>
    <m/>
    <n v="7.2131130434782614E-2"/>
    <n v="0"/>
    <n v="2"/>
    <n v="71"/>
  </r>
  <r>
    <n v="153"/>
    <s v="0196"/>
    <x v="2"/>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x v="13"/>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s v="Jun"/>
    <m/>
    <n v="92"/>
    <n v="91"/>
    <s v="N/A"/>
    <s v="FUNCIONAMIENTO"/>
    <s v="300-AO-1928-2022"/>
    <d v="2022-05-23T00:00:00"/>
    <n v="304121874"/>
    <s v="IMEVALLE SAS"/>
    <n v="202205486"/>
    <n v="81396"/>
    <m/>
    <m/>
    <m/>
    <m/>
    <m/>
    <s v="YUMBO"/>
    <s v="MUNICIPAL"/>
    <m/>
    <n v="2.6757108823978124E-4"/>
    <n v="1"/>
    <n v="2"/>
    <n v="92"/>
  </r>
  <r>
    <n v="154"/>
    <s v="0197"/>
    <x v="1"/>
    <d v="2022-03-03T00:00:00"/>
    <x v="3"/>
    <s v="GE0303"/>
    <s v="FR-500-GE-0115-2022"/>
    <s v="N/A"/>
    <s v="Calibración de Instrumentos y Equipos de Laboratorio"/>
    <n v="40712800"/>
    <m/>
    <s v="900-IPU-0197-2022"/>
    <s v="IPU"/>
    <n v="202201683"/>
    <m/>
    <s v="N/A"/>
    <s v="N/A"/>
    <s v="Menor cuantia"/>
    <x v="0"/>
    <x v="23"/>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m/>
    <s v="abr"/>
    <n v="35"/>
    <n v="35"/>
    <s v="G"/>
    <s v="FUNCIONAMIENTO"/>
    <m/>
    <m/>
    <m/>
    <m/>
    <m/>
    <m/>
    <n v="40712800"/>
    <m/>
    <m/>
    <m/>
    <m/>
    <m/>
    <m/>
    <m/>
    <m/>
    <n v="1"/>
    <m/>
    <m/>
  </r>
  <r>
    <n v="155"/>
    <s v="0198"/>
    <x v="1"/>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x v="1"/>
    <d v="2022-03-09T00:00:00"/>
    <e v="#VALUE!"/>
    <e v="#VALUE!"/>
    <s v="NO"/>
    <s v="Cerrado"/>
    <x v="0"/>
    <m/>
    <s v="23 de marzo en elaboracon de fpa e invitacion_x000a_31 DE MARZO PENDIENTE LA FIRMA DEL GERENTE PARA PUBLICAR_x000a_20 de abril se reciben ofertas_x000a_6 DEMAYO SE PUBLICO ACTA DE CIERRE"/>
    <d v="2022-05-06T00:00:00"/>
    <m/>
    <s v="may"/>
    <n v="64"/>
    <n v="58"/>
    <m/>
    <s v="FUNCIONAMIENTO"/>
    <m/>
    <m/>
    <m/>
    <m/>
    <m/>
    <m/>
    <n v="62492850"/>
    <m/>
    <m/>
    <m/>
    <m/>
    <m/>
    <m/>
    <m/>
    <m/>
    <n v="1"/>
    <m/>
    <m/>
  </r>
  <r>
    <n v="156"/>
    <s v="0199"/>
    <x v="1"/>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x v="24"/>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m/>
    <s v="may"/>
    <n v="64"/>
    <n v="48"/>
    <m/>
    <s v="FUNCIONAMIENTO"/>
    <m/>
    <m/>
    <m/>
    <m/>
    <m/>
    <m/>
    <n v="26610066"/>
    <m/>
    <m/>
    <m/>
    <m/>
    <m/>
    <m/>
    <m/>
    <m/>
    <n v="1"/>
    <m/>
    <m/>
  </r>
  <r>
    <n v="157"/>
    <s v="0200"/>
    <x v="2"/>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x v="1"/>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s v="Aug"/>
    <m/>
    <n v="153"/>
    <n v="132"/>
    <s v="N/A"/>
    <s v="INVERSION"/>
    <s v="300-AO-2024-2022"/>
    <d v="2022-07-15T00:00:00"/>
    <n v="376737827"/>
    <s v="EPRING SAS"/>
    <n v="202207211"/>
    <n v="3745378"/>
    <m/>
    <m/>
    <m/>
    <m/>
    <m/>
    <s v="CALI"/>
    <s v="LOCAL"/>
    <s v="UNIDAD DE TRATAMIENTO"/>
    <n v="9.8437406718123073E-3"/>
    <n v="1"/>
    <n v="2"/>
    <n v="119"/>
  </r>
  <r>
    <n v="158"/>
    <s v="0201"/>
    <x v="2"/>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x v="11"/>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s v="Aug"/>
    <m/>
    <n v="145"/>
    <n v="125"/>
    <s v="N/A"/>
    <s v="FUNCIONAMIENTO"/>
    <s v="300-AO-2038-2022"/>
    <d v="2022-07-19T00:00:00"/>
    <n v="109938905"/>
    <s v="INGENIERIA  Y REPRESENTACIONES SAS"/>
    <n v="202207206"/>
    <n v="5392881"/>
    <m/>
    <m/>
    <m/>
    <m/>
    <m/>
    <s v="CALI"/>
    <s v="LOCAL"/>
    <s v="UNIDAD DE BOMBEO"/>
    <n v="4.675971115196291E-2"/>
    <n v="1"/>
    <n v="2"/>
    <n v="138"/>
  </r>
  <r>
    <n v="159"/>
    <s v="0202"/>
    <x v="2"/>
    <d v="2022-03-11T00:00:00"/>
    <x v="3"/>
    <s v="GAA0272"/>
    <s v="FR-300-GAA-0068-2022"/>
    <s v="300-CMA-1974-2021"/>
    <s v="Suministro de hidrantes para la Unidad de Distribucción"/>
    <n v="108727408"/>
    <m/>
    <s v="N/A"/>
    <m/>
    <n v="202202570"/>
    <m/>
    <s v="N/A"/>
    <s v="N/A"/>
    <s v="N/A"/>
    <x v="1"/>
    <x v="15"/>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s v="Jun"/>
    <m/>
    <n v="90"/>
    <n v="71"/>
    <s v="N/A"/>
    <s v="FUNCIONAMIENTO"/>
    <s v="300-CMA-1974-2021/300-AO-1935-2022"/>
    <d v="2022-05-26T00:00:00"/>
    <n v="108727408"/>
    <s v="EQUIPOS Y HERRAMIENTAS INDUSTRIALES SAS"/>
    <n v="202205626"/>
    <n v="0"/>
    <m/>
    <m/>
    <m/>
    <m/>
    <m/>
    <s v="CALI"/>
    <s v="LOCAL"/>
    <m/>
    <n v="0"/>
    <n v="1"/>
    <n v="0"/>
    <n v="90"/>
  </r>
  <r>
    <n v="160"/>
    <s v="0203"/>
    <x v="2"/>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x v="1"/>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s v="Jul"/>
    <m/>
    <n v="138"/>
    <n v="120"/>
    <s v="N/A"/>
    <s v="FUNCIONAMIENTO"/>
    <s v="300-AO-2025-2022"/>
    <d v="2022-07-15T00:00:00"/>
    <n v="299906870"/>
    <s v="SAUFER SOLUCIONES SA"/>
    <n v="202207213"/>
    <n v="51201"/>
    <m/>
    <m/>
    <m/>
    <m/>
    <m/>
    <s v="BOGOTA"/>
    <s v="NACIONAL"/>
    <s v="UNIDAD DE BOMBEO"/>
    <n v="1.7069385674239784E-4"/>
    <n v="1"/>
    <n v="2"/>
    <n v="103"/>
  </r>
  <r>
    <n v="161"/>
    <s v="0204"/>
    <x v="2"/>
    <d v="2022-03-11T00:00:00"/>
    <x v="3"/>
    <s v="GAA0387"/>
    <s v="FR-300-GAA-0075-2022"/>
    <s v="N/A"/>
    <s v="Suministro de lubricantes para todas las estaciones de bombeo de aguas lluvias y/o residuales"/>
    <n v="52771303"/>
    <m/>
    <s v="900-IPU-0204-2022"/>
    <s v="IPU"/>
    <n v="202201835"/>
    <m/>
    <s v="N/A"/>
    <s v="N/A"/>
    <s v="Menor cuantia"/>
    <x v="0"/>
    <x v="16"/>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m/>
    <s v="jun"/>
    <n v="111"/>
    <n v="98"/>
    <m/>
    <s v="FUNCIONAMIENTO"/>
    <m/>
    <m/>
    <m/>
    <m/>
    <m/>
    <m/>
    <e v="#VALUE!"/>
    <m/>
    <m/>
    <m/>
    <m/>
    <m/>
    <m/>
    <m/>
    <m/>
    <n v="1"/>
    <m/>
    <m/>
  </r>
  <r>
    <n v="162"/>
    <s v="0205"/>
    <x v="2"/>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x v="25"/>
    <m/>
    <e v="#VALUE!"/>
    <e v="#VALUE!"/>
    <s v="NO"/>
    <s v="Devuelto"/>
    <x v="2"/>
    <m/>
    <s v="DEVUELTO EL 23 DE MARZO 2022 POR SOLICITUD DEL AREA"/>
    <d v="2022-03-23T00:00:00"/>
    <m/>
    <s v="mar"/>
    <n v="9"/>
    <n v="44643"/>
    <m/>
    <s v="INVERSION"/>
    <m/>
    <m/>
    <m/>
    <m/>
    <m/>
    <e v="#VALUE!"/>
    <m/>
    <m/>
    <m/>
    <m/>
    <m/>
    <m/>
    <m/>
    <m/>
    <m/>
    <n v="1"/>
    <m/>
    <m/>
  </r>
  <r>
    <n v="163"/>
    <s v="0206"/>
    <x v="2"/>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x v="1"/>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s v="Aug"/>
    <m/>
    <n v="163"/>
    <n v="148"/>
    <s v="N/A"/>
    <s v="FUNCIONAMIENTO"/>
    <s v="300-AO-2116-2022"/>
    <d v="2022-07-22T00:00:00"/>
    <n v="794168337"/>
    <s v="UNION TEMPORAL MANTENIMIENTO  EBAR 2022"/>
    <n v="202207840"/>
    <n v="5130863"/>
    <m/>
    <m/>
    <m/>
    <m/>
    <m/>
    <s v="CALI"/>
    <s v="LOCAL"/>
    <s v="UNIDAD DE BOMBEO"/>
    <n v="6.4192019709265313E-3"/>
    <n v="1"/>
    <n v="2"/>
    <n v="129"/>
  </r>
  <r>
    <n v="164"/>
    <s v="0207"/>
    <x v="2"/>
    <d v="2022-03-14T00:00:00"/>
    <x v="3"/>
    <s v="GAA0394"/>
    <s v="FR-300-GAA-0076-2022"/>
    <s v="N/A"/>
    <s v="Suministro de equipos y elementos para la medición de variables para el proceso de tratamiento de la PTAR-C"/>
    <n v="207605670"/>
    <m/>
    <s v="900-IPU-0207-2022"/>
    <s v="IPU"/>
    <n v="202202669"/>
    <m/>
    <s v="N/A"/>
    <s v="N/A"/>
    <s v="Menor cuantia"/>
    <x v="0"/>
    <x v="16"/>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m/>
    <s v="jun"/>
    <n v="86"/>
    <n v="71"/>
    <m/>
    <s v="INVERSION"/>
    <m/>
    <m/>
    <m/>
    <m/>
    <m/>
    <m/>
    <e v="#VALUE!"/>
    <m/>
    <m/>
    <m/>
    <m/>
    <m/>
    <m/>
    <m/>
    <m/>
    <n v="1"/>
    <m/>
    <m/>
  </r>
  <r>
    <n v="165"/>
    <s v="0208"/>
    <x v="2"/>
    <d v="2022-03-15T00:00:00"/>
    <x v="3"/>
    <s v="GAA0652"/>
    <s v="FR-300-GAA-0078-2022"/>
    <s v="300-CMA-1243-2020"/>
    <s v="Suministro de Cloro, para ser utilizado en el tratamiento de agua potable para consumo humano"/>
    <n v="1451921415"/>
    <s v="90 dias"/>
    <s v="N/A"/>
    <m/>
    <n v="202202688"/>
    <n v="11870525408"/>
    <s v="N/A"/>
    <s v="N/A"/>
    <s v="N/A"/>
    <x v="1"/>
    <x v="15"/>
    <d v="2022-03-15T00:00:00"/>
    <n v="79"/>
    <n v="79"/>
    <s v="SI"/>
    <s v="Entregado al area"/>
    <x v="1"/>
    <s v="31 DE MARZO EN APROBACION DE GARANTIAS_x000a_7 de abril entregado al area"/>
    <m/>
    <d v="2022-04-07T00:00:00"/>
    <s v="May"/>
    <m/>
    <n v="23"/>
    <n v="23"/>
    <s v="N/A"/>
    <s v="FUNCIONAMIENTO"/>
    <s v="300-CMA-1243-2020/300-AO-1890-2022"/>
    <d v="2022-03-29T00:00:00"/>
    <n v="1451111417"/>
    <s v="QUIMPAC DE COLOMBIA SA"/>
    <m/>
    <n v="809998"/>
    <m/>
    <m/>
    <s v="2022-107"/>
    <d v="2022-03-08T00:00:00"/>
    <m/>
    <s v="YUMBO"/>
    <s v="MUNICIPAL"/>
    <m/>
    <n v="5.5788005578800558E-4"/>
    <n v="1"/>
    <n v="0"/>
    <n v="23"/>
  </r>
  <r>
    <n v="166"/>
    <s v="0209"/>
    <x v="2"/>
    <d v="2022-03-15T00:00:00"/>
    <x v="3"/>
    <s v="GAA0654"/>
    <s v="FR-300-GAA-0079-2022"/>
    <s v="300-CMA-1246-2020"/>
    <s v="Suministro de Coagulante para las plantas Río Cauca, Río Cali, La Reforma y La Rivera: Hidroxicloruro de Aluminio."/>
    <n v="1010081985"/>
    <s v="90 dias"/>
    <s v="N/A"/>
    <m/>
    <n v="202202688"/>
    <n v="1166236926"/>
    <s v="N/A"/>
    <s v="N/A"/>
    <s v="N/A"/>
    <x v="1"/>
    <x v="15"/>
    <d v="2022-03-15T00:00:00"/>
    <n v="79"/>
    <n v="79"/>
    <s v="SI"/>
    <s v="Entregado al area"/>
    <x v="1"/>
    <s v="31 DE MARZO EN EVALUACION_x000a_20 DE ABRIL ENTREGADO AL AREA"/>
    <m/>
    <d v="2022-04-20T00:00:00"/>
    <s v="May"/>
    <m/>
    <n v="36"/>
    <n v="36"/>
    <s v="N/A"/>
    <s v="FUNCIONAMIENTO"/>
    <s v="300-CMA-1246-2020/300-AO-1902-2022"/>
    <d v="2022-04-07T00:00:00"/>
    <n v="980029959"/>
    <s v="QUIMPAC DE COLOMBIA SA"/>
    <m/>
    <n v="30052026"/>
    <m/>
    <m/>
    <s v="2022-105"/>
    <d v="2022-03-08T00:00:00"/>
    <m/>
    <s v="YUMBO"/>
    <s v="MUNICIPAL"/>
    <m/>
    <n v="2.9752066115702479E-2"/>
    <n v="1"/>
    <n v="0"/>
    <n v="36"/>
  </r>
  <r>
    <n v="167"/>
    <s v="0210"/>
    <x v="2"/>
    <d v="2022-03-15T00:00:00"/>
    <x v="3"/>
    <s v="GAA0653"/>
    <s v="FR-300-GAA-0080-2022"/>
    <s v="300-CMA-1245-2020"/>
    <s v="Suministro de Coagulante para ser utilizado en el tratamiento de Agua Potable para consumo humano"/>
    <n v="2781245550"/>
    <s v="90 dias"/>
    <s v="N/A"/>
    <m/>
    <n v="202202688"/>
    <n v="2144676418"/>
    <s v="N/A"/>
    <s v="N/A"/>
    <s v="N/A"/>
    <x v="1"/>
    <x v="15"/>
    <d v="2022-03-15T00:00:00"/>
    <n v="79"/>
    <n v="79"/>
    <s v="SI"/>
    <s v="Entregado al area"/>
    <x v="1"/>
    <s v="31 DE MARZO EN EVALUACION"/>
    <m/>
    <d v="2022-04-20T00:00:00"/>
    <s v="May"/>
    <m/>
    <n v="36"/>
    <n v="36"/>
    <s v="N/A"/>
    <s v="FUNCIONAMIENTO"/>
    <s v="300-CMA-1245-2020/300-AO-1901-2022"/>
    <d v="2022-04-07T00:00:00"/>
    <n v="1802080450"/>
    <s v="QUIMPAC DE COLOMBIA SA"/>
    <m/>
    <n v="979165100"/>
    <m/>
    <m/>
    <s v="N/A"/>
    <s v="N/A"/>
    <m/>
    <s v="YUMBO"/>
    <s v="MUNICIPAL"/>
    <m/>
    <n v="0.35205992509363299"/>
    <n v="1"/>
    <n v="0"/>
    <n v="36"/>
  </r>
  <r>
    <n v="168"/>
    <s v="0211"/>
    <x v="2"/>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x v="20"/>
    <d v="2022-03-15T00:00:00"/>
    <n v="79"/>
    <n v="79"/>
    <s v="SI"/>
    <s v="Entregado al area"/>
    <x v="1"/>
    <s v="31 de marzo en aceptacion de la oferta_x000a_5 de abril en rp_x000a_19 en abril en espera de las polizas por parte del proveedor_x000a_03 DE MAYO ENTREGADO AL AREA"/>
    <m/>
    <d v="2022-05-03T00:00:00"/>
    <s v="May"/>
    <m/>
    <n v="49"/>
    <n v="49"/>
    <s v="N/A"/>
    <s v="FUNCIONAMIENTO"/>
    <s v="300-CMA-1241-2020/300-AO-1896-2022"/>
    <d v="2022-04-04T00:00:00"/>
    <n v="349951849"/>
    <s v="SULFOQUIMICA SA"/>
    <m/>
    <n v="394090"/>
    <m/>
    <m/>
    <m/>
    <m/>
    <m/>
    <s v="ITAGUI"/>
    <s v="NACIONAL"/>
    <m/>
    <n v="1.1248596205363751E-3"/>
    <n v="1"/>
    <n v="0"/>
    <n v="49"/>
  </r>
  <r>
    <n v="169"/>
    <s v="0212"/>
    <x v="2"/>
    <d v="2022-03-15T00:00:00"/>
    <x v="3"/>
    <s v="GAA0219"/>
    <s v="FR-300-GAA-0082-2022"/>
    <s v="CMA-1246-2020"/>
    <s v="Suministro de Hipoclorito de Calcio para ser utilizado en el tratamiento de Agua Potable para consumo humano"/>
    <n v="13554576"/>
    <m/>
    <s v="N/A"/>
    <m/>
    <n v="202200896"/>
    <m/>
    <s v="N/A"/>
    <s v="N/A"/>
    <s v="Menor cuantia"/>
    <x v="1"/>
    <x v="13"/>
    <d v="2022-03-24T00:00:00"/>
    <n v="-44635"/>
    <n v="-44644"/>
    <s v="SI"/>
    <s v="Entregado al area"/>
    <x v="1"/>
    <s v="5 de abril en solicitud de conceptos_x000a_20 de abril en revision de la fpa y cc_x000a_11 DE MAYO CERRADO_x000a_Se tramito como el contrato marco"/>
    <m/>
    <d v="2022-06-29T00:00:00"/>
    <s v="Jul"/>
    <m/>
    <n v="106"/>
    <n v="97"/>
    <s v="N/A"/>
    <s v="FUNCIONAMIENTO"/>
    <s v="CMA-1246-2020/300-AO-1957-2022"/>
    <d v="2022-06-13T00:00:00"/>
    <n v="11067000"/>
    <s v="QUIMPAC DE COLOMBIA SA"/>
    <n v="202205765"/>
    <n v="2487576"/>
    <m/>
    <m/>
    <m/>
    <m/>
    <m/>
    <s v="YUMBO"/>
    <s v="MUNICIPAL"/>
    <s v="UNIDAD DE PRODUCCIÓN AGUA POTABLE"/>
    <n v="0.18352296670880741"/>
    <n v="1"/>
    <n v="0"/>
    <n v="106"/>
  </r>
  <r>
    <n v="170"/>
    <s v="0213"/>
    <x v="5"/>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x v="10"/>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m/>
    <s v="jun"/>
    <n v="84"/>
    <n v="75"/>
    <m/>
    <s v="FUNCIONAMIENTO"/>
    <m/>
    <m/>
    <m/>
    <m/>
    <m/>
    <m/>
    <n v="226560000"/>
    <m/>
    <m/>
    <m/>
    <m/>
    <m/>
    <m/>
    <m/>
    <m/>
    <n v="0"/>
    <m/>
    <m/>
  </r>
  <r>
    <n v="171"/>
    <s v="0214"/>
    <x v="1"/>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x v="5"/>
    <d v="2022-03-17T00:00:00"/>
    <n v="77"/>
    <n v="77"/>
    <s v="SI"/>
    <s v="Entregado al area"/>
    <x v="1"/>
    <s v="23 de marzo a la espera de la firma de la jefe sandra de la fpa e invitacion_x000a_26 DE ABRIL ENTREGADO AL AREA"/>
    <m/>
    <d v="2022-04-26T00:00:00"/>
    <s v="May"/>
    <m/>
    <n v="40"/>
    <n v="40"/>
    <s v="N/A"/>
    <s v="INVERSION"/>
    <s v="500-CMA-1743-2021/500-AO-1900-2022"/>
    <d v="2022-04-07T00:00:00"/>
    <n v="2369197180"/>
    <s v="CENTELSA SA"/>
    <m/>
    <n v="124694588.42105293"/>
    <m/>
    <m/>
    <s v="2022-073"/>
    <d v="2022-02-18T00:00:00"/>
    <m/>
    <s v="YUMBO"/>
    <s v="NACIONAL"/>
    <m/>
    <n v="5.0000000000000114E-2"/>
    <n v="1"/>
    <n v="0"/>
    <n v="40"/>
  </r>
  <r>
    <n v="172"/>
    <s v="0215"/>
    <x v="6"/>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x v="3"/>
    <d v="2022-03-17T00:00:00"/>
    <n v="77"/>
    <n v="77"/>
    <s v="SI"/>
    <s v="Entregado al area"/>
    <x v="1"/>
    <s v="31 de marzo evaluacion sobre 1_x000a_20 DE ABRIL EN SOLICITUD DE RP Y POLIZAS_x000a_27 de abril entregado al area"/>
    <m/>
    <d v="2022-04-27T00:00:00"/>
    <s v="May"/>
    <m/>
    <n v="41"/>
    <n v="41"/>
    <s v="N/A"/>
    <s v="FUNCIONAMIENTO"/>
    <s v="200-AO-1903-2022"/>
    <d v="2022-04-20T00:00:00"/>
    <n v="1215989566"/>
    <s v="THE BEST EXPERIENCE IN TECHNOLOGY SAS"/>
    <m/>
    <n v="6360791"/>
    <m/>
    <m/>
    <s v="N/A"/>
    <s v="N/A"/>
    <m/>
    <s v="BOGOTA"/>
    <s v="NACIONAL"/>
    <m/>
    <n v="5.2037379983356112E-3"/>
    <n v="0"/>
    <n v="2"/>
    <n v="41"/>
  </r>
  <r>
    <n v="173"/>
    <s v="0216"/>
    <x v="0"/>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x v="15"/>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s v="Jun"/>
    <m/>
    <n v="88"/>
    <n v="87"/>
    <s v="N/A"/>
    <s v="FUNCIONAMIENTO"/>
    <s v="300-CMA-1974-2020/400-AO-1932-2022_x000a__x000a_300-CMA-1974-2020/400-AO-1933-2022"/>
    <d v="2022-05-25T00:00:00"/>
    <n v="83411573"/>
    <s v="EQUIPOS Y HERRAMIENTAS INDUSTRIALES SAS"/>
    <n v="202205613"/>
    <n v="2908703"/>
    <m/>
    <m/>
    <m/>
    <m/>
    <m/>
    <s v="CALI"/>
    <s v="LOCAL"/>
    <m/>
    <n v="3.3696636929196104E-2"/>
    <n v="1"/>
    <n v="0"/>
    <n v="88"/>
  </r>
  <r>
    <n v="174"/>
    <s v="0217"/>
    <x v="2"/>
    <d v="2022-03-22T00:00:00"/>
    <x v="3"/>
    <s v="GAA0259"/>
    <s v="FR-300-GAA-0086-2022"/>
    <s v="N/A"/>
    <s v="Mantenimiento de equipos electromecanicos de las PTAP´S Río Cali y Rivera"/>
    <n v="219998971"/>
    <s v="31 DE DICIEMBRE 2022"/>
    <s v="900-IPU-0217-2022"/>
    <m/>
    <n v="202200890"/>
    <n v="219998971"/>
    <s v="N/A"/>
    <s v="N/A"/>
    <s v="Menor cuantia"/>
    <x v="0"/>
    <x v="1"/>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s v="Sep"/>
    <m/>
    <n v="164"/>
    <n v="157"/>
    <s v="N/A"/>
    <s v="FUNCIONAMIENTO"/>
    <s v="300-AO-2217-2022"/>
    <d v="2022-08-19T00:00:00"/>
    <n v="215951252"/>
    <s v="UNION TEMPORAL OVERHAUL 2022"/>
    <n v="202208265"/>
    <n v="4047719"/>
    <m/>
    <m/>
    <m/>
    <m/>
    <m/>
    <s v="CALI"/>
    <s v="LOCAL"/>
    <s v="UNIDAD DE MANTENIMIENTO"/>
    <n v="1.8398808783519266E-2"/>
    <n v="1"/>
    <n v="2"/>
    <n v="109"/>
  </r>
  <r>
    <n v="175"/>
    <s v="0218"/>
    <x v="2"/>
    <d v="2022-03-23T00:00:00"/>
    <x v="3"/>
    <s v="GAA0270"/>
    <s v="FR-300-GAA-0088-2022"/>
    <s v="300-CMA-1794-2021"/>
    <s v="Suministro de elementos de ferreteria para la unidad de distribucción"/>
    <n v="66554963"/>
    <m/>
    <s v="N/A"/>
    <m/>
    <n v="202201161"/>
    <m/>
    <s v="N/A"/>
    <s v="N/A"/>
    <s v="N/A"/>
    <x v="1"/>
    <x v="15"/>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s v="Jul"/>
    <m/>
    <n v="78"/>
    <n v="78"/>
    <s v="N/A"/>
    <s v="FUNCIONAMIENTO"/>
    <s v="300-CMA-1974-2021/300-AO-1935-2022"/>
    <d v="2022-05-26T00:00:00"/>
    <n v="39751349"/>
    <s v="EQUIPOS Y HERRAMIENTAS INDUSTRIALES SAS"/>
    <n v="202205626"/>
    <n v="26803614"/>
    <m/>
    <m/>
    <m/>
    <m/>
    <m/>
    <s v="CALI"/>
    <s v="LOCAL"/>
    <s v="UENAA U. DISTRIBUCIÓN"/>
    <n v="0.40272900459729805"/>
    <n v="1"/>
    <n v="0"/>
    <n v="78"/>
  </r>
  <r>
    <n v="176"/>
    <s v="0219"/>
    <x v="1"/>
    <d v="2022-03-25T00:00:00"/>
    <x v="3"/>
    <s v="GE0314"/>
    <s v="FR-500-GE-0190-2022"/>
    <s v="N/A"/>
    <s v="Mantenimiento general de transformadores de potencia de las Subestaciones de Energía"/>
    <n v="535500000"/>
    <m/>
    <s v="900-IPU-0219-2022"/>
    <s v="IPU"/>
    <n v="202203018"/>
    <m/>
    <s v="N/A"/>
    <s v="N/A"/>
    <s v="Mayor cuantia"/>
    <x v="0"/>
    <x v="16"/>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m/>
    <s v="jul"/>
    <n v="105"/>
    <n v="95"/>
    <m/>
    <s v="FUNCIONAMIENTO"/>
    <m/>
    <m/>
    <m/>
    <m/>
    <m/>
    <m/>
    <e v="#VALUE!"/>
    <m/>
    <m/>
    <m/>
    <m/>
    <m/>
    <m/>
    <m/>
    <m/>
    <n v="1"/>
    <m/>
    <m/>
  </r>
  <r>
    <n v="177"/>
    <s v="0220"/>
    <x v="5"/>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x v="8"/>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s v="Sep"/>
    <m/>
    <n v="171"/>
    <n v="168"/>
    <s v="N/A"/>
    <s v="FUNCIONAMIENTO"/>
    <s v="800-AO-2034-2022"/>
    <d v="2022-07-19T00:00:00"/>
    <n v="1042387972"/>
    <s v="VICKBAY SAS"/>
    <m/>
    <n v="2023028"/>
    <m/>
    <m/>
    <m/>
    <m/>
    <m/>
    <m/>
    <m/>
    <s v="UNIDAD SEGURIDAD Y SALUD EN EL TRABAJO"/>
    <n v="1.9370037274597835E-3"/>
    <n v="0"/>
    <n v="2"/>
    <n v="145"/>
  </r>
  <r>
    <n v="178"/>
    <s v="0221"/>
    <x v="0"/>
    <d v="2022-03-25T00:00:00"/>
    <x v="3"/>
    <s v="GT0229"/>
    <s v="FR-400-GT-0155-2022"/>
    <s v="N/A"/>
    <s v="Suministro de Equipos Terminales CPE con tecnología ADSL2+/VDSL2 para el mercado masivo y comercial de EMCALI"/>
    <n v="1000000000"/>
    <s v="90 dias"/>
    <s v="900-IPU-0221-2022"/>
    <m/>
    <n v="202202954"/>
    <m/>
    <s v="N/A"/>
    <s v="N/A"/>
    <s v="Mayor cuantia"/>
    <x v="0"/>
    <x v="1"/>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s v="Aug"/>
    <m/>
    <n v="145"/>
    <n v="142"/>
    <s v="C"/>
    <s v="INVERSION"/>
    <s v="400-AO1962-2022"/>
    <d v="2022-06-16T00:00:00"/>
    <n v="958964118"/>
    <s v="ZTE  CORPORATION SUCURSAL COLOMBIA"/>
    <n v="202207824"/>
    <n v="41035882"/>
    <m/>
    <m/>
    <m/>
    <m/>
    <m/>
    <s v="BOGOTA"/>
    <s v="NACIONAL"/>
    <s v="SUB GERENCIA COMERCIAL"/>
    <n v="4.1035882000000003E-2"/>
    <n v="1"/>
    <n v="2"/>
    <n v="99"/>
  </r>
  <r>
    <n v="179"/>
    <s v="0222"/>
    <x v="2"/>
    <d v="2022-03-25T00:00:00"/>
    <x v="3"/>
    <s v="GAA0646"/>
    <s v="FR-300-GAA-0097-2022"/>
    <s v="300-CMA-1974-2020"/>
    <s v="Suministro de elementos de Ferretería"/>
    <n v="1053865028"/>
    <s v="4 Meses"/>
    <s v="N/A"/>
    <m/>
    <n v="202202078"/>
    <m/>
    <s v="N/A"/>
    <s v="N/A"/>
    <s v="N/A"/>
    <x v="1"/>
    <x v="15"/>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s v="Jun"/>
    <m/>
    <n v="73"/>
    <n v="70"/>
    <s v="N/A"/>
    <s v="FUNCIONAMIENTO"/>
    <s v="300-CMA-1974-2020/300-AO-1926-2022"/>
    <d v="2022-05-23T00:00:00"/>
    <n v="985518328"/>
    <s v="EQUIPOS Y HERRAMIENTAS INDUSTRIALES SAS"/>
    <n v="202205513"/>
    <n v="68346700"/>
    <m/>
    <m/>
    <m/>
    <m/>
    <m/>
    <s v="CALI"/>
    <s v="LOCAL"/>
    <m/>
    <n v="6.4853371337036156E-2"/>
    <n v="1"/>
    <n v="0"/>
    <n v="73"/>
  </r>
  <r>
    <n v="180"/>
    <s v="0223"/>
    <x v="2"/>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x v="15"/>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s v="Jun"/>
    <m/>
    <n v="77"/>
    <n v="74"/>
    <s v="N/A"/>
    <s v="FUNCIONAMIENTO"/>
    <s v="300-CMA-1974-2020/300-AO-1938-2022_x000a_300-CMA-1974-2020/300-AO-1936-2022"/>
    <d v="2022-05-26T00:00:00"/>
    <n v="2993832375"/>
    <s v="EQUIPOS Y HERRAMIENTAS INDUSTRIALES SAS"/>
    <s v="202205622_x000a_202205637"/>
    <n v="117827316"/>
    <m/>
    <m/>
    <m/>
    <m/>
    <m/>
    <s v="CALI"/>
    <s v="LOCAL"/>
    <m/>
    <n v="3.7866388905186996E-2"/>
    <n v="1"/>
    <n v="0"/>
    <n v="77"/>
  </r>
  <r>
    <n v="181"/>
    <s v="0224"/>
    <x v="2"/>
    <d v="2022-03-28T00:00:00"/>
    <x v="3"/>
    <s v="GAA0255"/>
    <s v="FR-300-GAA-0090-2022"/>
    <s v="N/A"/>
    <s v="Reparación descargas de reactores 1 y 2 PTAP Río Cauca"/>
    <n v="425201539"/>
    <s v="28 DE NOVIEMBRE 2022"/>
    <s v="900-IPU-0224-2022"/>
    <m/>
    <n v="202200888"/>
    <n v="425201539"/>
    <s v="N/A"/>
    <s v="N/A"/>
    <s v="Menor cuantia"/>
    <x v="0"/>
    <x v="1"/>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s v="Aug"/>
    <m/>
    <n v="148"/>
    <n v="141"/>
    <s v="G"/>
    <s v="FUNCIONAMIENTO"/>
    <s v="300-AO-2096-2022"/>
    <d v="2022-08-10T00:00:00"/>
    <n v="416649663"/>
    <s v="CABARCO INGENIERIA SAS"/>
    <n v="202207863"/>
    <n v="8551876"/>
    <m/>
    <m/>
    <s v="N/A"/>
    <s v="N/A"/>
    <m/>
    <m/>
    <m/>
    <s v="UNIDAD DE MANTENIMIENTO"/>
    <n v="2.0112523628471626E-2"/>
    <n v="1"/>
    <n v="2"/>
    <n v="94"/>
  </r>
  <r>
    <n v="182"/>
    <s v="0225"/>
    <x v="2"/>
    <d v="2022-03-28T00:00:00"/>
    <x v="3"/>
    <s v="GAA0554"/>
    <s v="FR-300-GAA-0101-2022"/>
    <s v="300-CMA-1974-2020"/>
    <s v="Suministro de materiales de ferretería para la Unidad Control Integral de Perdidas de Agua/Subgerencia de Gestión Comercial"/>
    <n v="2583811038"/>
    <s v="90 Dias"/>
    <s v="N/A"/>
    <m/>
    <n v="202202749"/>
    <m/>
    <s v="N/A"/>
    <s v="N/A"/>
    <s v="N/A"/>
    <x v="1"/>
    <x v="15"/>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77"/>
    <n v="76"/>
    <s v="N/A"/>
    <s v="FUNCIONAMIENTO"/>
    <s v="300-CMA-1974-2020/300-AO-1942-2022"/>
    <d v="2022-05-31T00:00:00"/>
    <n v="2583811038"/>
    <s v="EQUIPOS Y HERRAMIENTAS INDUSTRIALES SAS"/>
    <n v="202205666"/>
    <n v="0"/>
    <m/>
    <m/>
    <m/>
    <m/>
    <m/>
    <s v="EQUIPOS Y HERRAMIENTAS INDUSTRIALES SAS"/>
    <s v="CALI"/>
    <m/>
    <n v="0"/>
    <n v="1"/>
    <n v="0"/>
    <n v="77"/>
  </r>
  <r>
    <n v="183"/>
    <s v="0226"/>
    <x v="2"/>
    <d v="2022-03-28T00:00:00"/>
    <x v="3"/>
    <s v="GAA0621"/>
    <s v="FR-300-GAA-0093-2022"/>
    <s v="N/A"/>
    <s v="Mantenimiento de seis (6) celdas 8DA10 SIEMENS de la PTAP Planta Río Cauca (OVERHOULT CELDAS SUBESTACIÓN PLANTA RIO CAUCA)"/>
    <n v="151608261"/>
    <s v="60 DIAS"/>
    <s v="900-IPU-0226-2022"/>
    <m/>
    <n v="202202904"/>
    <m/>
    <s v="N/A"/>
    <s v="N/A"/>
    <s v="Menor cuantia"/>
    <x v="0"/>
    <x v="1"/>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s v="Aug"/>
    <m/>
    <n v="150"/>
    <n v="143"/>
    <s v="N/A"/>
    <s v="INVERSION"/>
    <s v="300-AO-2048-2022"/>
    <d v="2022-07-25T00:00:00"/>
    <n v="151608261"/>
    <s v="SIEMENS  SAS"/>
    <n v="202207238"/>
    <n v="0"/>
    <m/>
    <m/>
    <m/>
    <m/>
    <m/>
    <s v="TENJO"/>
    <s v="CUNDINAMARCA"/>
    <s v="UNIDAD DE MANTENIMIENTO"/>
    <n v="0"/>
    <n v="1"/>
    <n v="2"/>
    <n v="124"/>
  </r>
  <r>
    <n v="184"/>
    <s v="0227"/>
    <x v="2"/>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x v="11"/>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m/>
    <s v="jul"/>
    <n v="109"/>
    <n v="102"/>
    <s v="B"/>
    <s v="FUNCIONAMIENTO"/>
    <m/>
    <m/>
    <m/>
    <m/>
    <m/>
    <m/>
    <e v="#VALUE!"/>
    <m/>
    <m/>
    <m/>
    <m/>
    <m/>
    <m/>
    <m/>
    <m/>
    <n v="1"/>
    <m/>
    <m/>
  </r>
  <r>
    <n v="185"/>
    <s v="0228"/>
    <x v="2"/>
    <d v="2022-03-28T00:00:00"/>
    <x v="3"/>
    <s v="GAA0552_x000a_GAA0553"/>
    <s v="FR-300-GAA-0100-2022"/>
    <s v="300-CMA-1974-2020"/>
    <s v="Suministro de equipos menores y herramientas"/>
    <n v="235970077"/>
    <m/>
    <s v="N/A"/>
    <m/>
    <s v="202203077_x000a_202203078"/>
    <m/>
    <s v="N/A"/>
    <s v="N/A"/>
    <s v="N/A"/>
    <x v="1"/>
    <x v="15"/>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s v="Aug"/>
    <m/>
    <n v="-44648"/>
    <n v="-44649"/>
    <s v="N/A"/>
    <s v="FUNCIONAMIENTO"/>
    <s v="CMA-1974-2020-300-AO-1943-2022"/>
    <m/>
    <n v="207306980"/>
    <s v="Equipos y Herramientas Industriales SAS"/>
    <m/>
    <n v="28663097"/>
    <m/>
    <m/>
    <m/>
    <m/>
    <m/>
    <m/>
    <m/>
    <s v="UNIDAD CONTROL INTEGRAL DE PERDIDAS DE AGUA"/>
    <n v="0.12146920221583858"/>
    <n v="1"/>
    <n v="0"/>
    <n v="77"/>
  </r>
  <r>
    <n v="186"/>
    <s v="0229"/>
    <x v="1"/>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x v="5"/>
    <d v="2022-03-30T00:00:00"/>
    <n v="65"/>
    <n v="64"/>
    <s v="SI"/>
    <s v="Entregado al area"/>
    <x v="1"/>
    <s v="5 de mayo entregado al area"/>
    <m/>
    <d v="2022-05-05T00:00:00"/>
    <s v="May"/>
    <m/>
    <n v="37"/>
    <n v="36"/>
    <s v="N/A"/>
    <s v="INVERSION"/>
    <s v="500-CMA-1743-2021/500-AO-1905-2022"/>
    <d v="2022-04-22T00:00:00"/>
    <n v="3148468323"/>
    <s v="CABLES DE ENERGIA Y TELECOMUNICACIONES SA"/>
    <m/>
    <n v="165708859.10526323"/>
    <m/>
    <m/>
    <s v="2022-079"/>
    <m/>
    <m/>
    <s v="YUMBO"/>
    <s v="MUNICIPAL"/>
    <m/>
    <n v="5.0000000000000024E-2"/>
    <n v="1"/>
    <n v="0"/>
    <n v="37"/>
  </r>
  <r>
    <n v="187"/>
    <s v="0230"/>
    <x v="2"/>
    <d v="2022-03-29T00:00:00"/>
    <x v="3"/>
    <s v="N/A"/>
    <s v="FR-300-GAA-0103-2022"/>
    <s v="N/A"/>
    <s v="Contrato Marco para el suministro de Hidroxicloruro de Aluminio para ser utilizado en el Tratamiento de Agua Potable para Consumo Humano"/>
    <s v="N/A"/>
    <m/>
    <s v="900-IPU-0230-2022"/>
    <s v="IPU"/>
    <s v="N/A"/>
    <s v="N/A"/>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m/>
    <s v="ago"/>
    <n v="126"/>
    <n v="123"/>
    <m/>
    <s v="FUNCIONAMIENTO"/>
    <m/>
    <m/>
    <m/>
    <m/>
    <m/>
    <e v="#VALUE!"/>
    <m/>
    <m/>
    <m/>
    <m/>
    <m/>
    <m/>
    <m/>
    <m/>
    <m/>
    <n v="1"/>
    <m/>
    <m/>
  </r>
  <r>
    <n v="188"/>
    <s v="0231"/>
    <x v="2"/>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m/>
    <s v="ago"/>
    <n v="126"/>
    <n v="123"/>
    <m/>
    <s v="FUNCIONAMIENTO"/>
    <m/>
    <m/>
    <m/>
    <m/>
    <m/>
    <e v="#VALUE!"/>
    <m/>
    <m/>
    <m/>
    <m/>
    <m/>
    <m/>
    <m/>
    <m/>
    <m/>
    <n v="1"/>
    <m/>
    <m/>
  </r>
  <r>
    <n v="189"/>
    <s v="0232"/>
    <x v="2"/>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3"/>
    <n v="130"/>
    <m/>
    <s v="FUNCIONAMIENTO"/>
    <m/>
    <m/>
    <m/>
    <m/>
    <m/>
    <e v="#VALUE!"/>
    <m/>
    <m/>
    <m/>
    <m/>
    <m/>
    <m/>
    <m/>
    <m/>
    <m/>
    <n v="1"/>
    <m/>
    <m/>
  </r>
  <r>
    <n v="190"/>
    <s v="0233"/>
    <x v="2"/>
    <d v="2022-03-29T00:00:00"/>
    <x v="3"/>
    <s v="N/A"/>
    <s v="FR-300-GAA-0106-2022"/>
    <s v="N/A"/>
    <s v="Contrato Marco para el Suministro de Carbón Activado para ser utilizado en el Tratamiento de Agua Potable para Consumo Humano"/>
    <s v="N/A"/>
    <m/>
    <s v="900-IPU-0230-2022"/>
    <s v="IPU"/>
    <s v="N/A"/>
    <m/>
    <s v="N/A"/>
    <s v="N/A"/>
    <s v="N/A"/>
    <x v="0"/>
    <x v="0"/>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m/>
    <s v="ago"/>
    <n v="126"/>
    <n v="123"/>
    <m/>
    <s v="FUNCIONAMIENTO"/>
    <m/>
    <m/>
    <m/>
    <m/>
    <m/>
    <e v="#VALUE!"/>
    <m/>
    <m/>
    <m/>
    <m/>
    <m/>
    <m/>
    <m/>
    <m/>
    <m/>
    <n v="1"/>
    <m/>
    <m/>
  </r>
  <r>
    <n v="191"/>
    <s v="0234"/>
    <x v="2"/>
    <d v="2022-03-29T00:00:00"/>
    <x v="3"/>
    <s v="GAA0624"/>
    <s v="FR-300-GAA-0098-2022"/>
    <s v="N/A"/>
    <s v="Suministro de equipos de Instrumentación para  las Plantas de Tratamiento de Agua Potable"/>
    <n v="155815600"/>
    <s v="28 DE NOVIEMBRE 2022"/>
    <s v="900-IPU-0234-2022"/>
    <m/>
    <n v="202202922"/>
    <m/>
    <s v="N/A"/>
    <s v="N/A"/>
    <s v="Menor cuantia"/>
    <x v="0"/>
    <x v="18"/>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s v="Aug"/>
    <m/>
    <n v="141"/>
    <n v="135"/>
    <s v="N/A"/>
    <s v="INVERSION"/>
    <s v="300-AO-2089-2022"/>
    <d v="2022-08-08T00:00:00"/>
    <n v="149772663"/>
    <s v="IMATIC INGENIERIA SAS"/>
    <m/>
    <n v="6042937"/>
    <m/>
    <m/>
    <m/>
    <m/>
    <m/>
    <m/>
    <m/>
    <s v="UNIDAD DE MANTENIMIENTO"/>
    <n v="3.8782618685163743E-2"/>
    <n v="1"/>
    <n v="2"/>
    <n v="115"/>
  </r>
  <r>
    <n v="192"/>
    <s v="0235"/>
    <x v="2"/>
    <d v="2022-03-29T00:00:00"/>
    <x v="3"/>
    <s v="GAA0261_x000a_GAA0637"/>
    <s v="FR-300-GAA-0099-2022"/>
    <s v="N/A"/>
    <s v="OVERHOULT Equipos Electoromecanicos para los equipos de PTAP Río Cauca"/>
    <n v="357751462"/>
    <s v="31 DE DICIEMBRE 2022"/>
    <s v="900-IPU-0217-2022"/>
    <m/>
    <n v="202202910"/>
    <n v="357751462"/>
    <s v="N/A"/>
    <s v="N/A"/>
    <s v="Menor cuantia"/>
    <x v="0"/>
    <x v="1"/>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s v="Sep"/>
    <m/>
    <n v="157"/>
    <n v="151"/>
    <s v="N/A"/>
    <s v="INVERSION"/>
    <s v="300-AO-2173-2022"/>
    <d v="2022-08-19T00:00:00"/>
    <n v="345825900"/>
    <s v="PAYAN Y CIA LTDA "/>
    <n v="202208262"/>
    <n v="11925562"/>
    <m/>
    <m/>
    <m/>
    <m/>
    <m/>
    <s v="CALI"/>
    <s v="LOCAL"/>
    <s v="UNIDAD DE MANTENIMIENTO"/>
    <n v="3.3334768035133841E-2"/>
    <n v="1"/>
    <n v="2"/>
    <n v="109"/>
  </r>
  <r>
    <n v="193"/>
    <s v="0236"/>
    <x v="5"/>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x v="10"/>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m/>
    <s v="jun"/>
    <n v="70"/>
    <n v="68"/>
    <m/>
    <s v="FUNCIONAMIENTO"/>
    <m/>
    <m/>
    <m/>
    <m/>
    <m/>
    <m/>
    <e v="#VALUE!"/>
    <m/>
    <m/>
    <m/>
    <m/>
    <m/>
    <m/>
    <m/>
    <m/>
    <n v="0"/>
    <m/>
    <m/>
  </r>
  <r>
    <n v="194"/>
    <s v="0237"/>
    <x v="5"/>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x v="9"/>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s v="Aug"/>
    <m/>
    <n v="127"/>
    <n v="125"/>
    <s v="N/A"/>
    <s v="FUNCIONAMIENTO"/>
    <s v="800-AO-2072-2022"/>
    <d v="2022-07-26T00:00:00"/>
    <n v="830487000"/>
    <s v="KOMATSU COLOMBIA SAS"/>
    <n v="202207259"/>
    <n v="82087000"/>
    <m/>
    <m/>
    <m/>
    <m/>
    <m/>
    <s v="CHIA CUNDINAMARCA"/>
    <s v="NACIONAL"/>
    <s v="UNIDAD GESTIÓN ADMINISTRATIVA"/>
    <n v="8.9951061502957563E-2"/>
    <n v="0"/>
    <n v="2"/>
    <n v="101"/>
  </r>
  <r>
    <n v="195"/>
    <s v="0238"/>
    <x v="5"/>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x v="9"/>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s v="Jul"/>
    <m/>
    <n v="120"/>
    <n v="118"/>
    <s v="N/A"/>
    <s v="FUNCIONAMIENTO"/>
    <s v="800-AO-2051-2022"/>
    <d v="2022-07-22T00:00:00"/>
    <n v="678255048"/>
    <s v="LLANTAS  E IMPORTACIONES SAGU SAS"/>
    <n v="202207253"/>
    <n v="0"/>
    <m/>
    <m/>
    <m/>
    <m/>
    <m/>
    <s v="BOGOTA"/>
    <s v="LOCAL"/>
    <s v="UNIDAD GESTIÓN ADMINISTRATIVA"/>
    <n v="0"/>
    <n v="0"/>
    <n v="2"/>
    <n v="95"/>
  </r>
  <r>
    <n v="196"/>
    <s v="0239"/>
    <x v="5"/>
    <d v="2022-03-30T00:00:00"/>
    <x v="3"/>
    <s v="GHA0075"/>
    <s v="FR-800-GAGHA-0147-2022"/>
    <s v="800-AC-2040-2021"/>
    <s v="Silla Interlocutora estructura metálica pintada, espaldar en carcasa plástica negra, tapizada en paño"/>
    <n v="1740970"/>
    <s v="30 dias"/>
    <s v="N/A"/>
    <m/>
    <n v="202202755"/>
    <n v="2000000"/>
    <s v="N/A"/>
    <s v="N/A"/>
    <s v="N/A"/>
    <x v="5"/>
    <x v="14"/>
    <d v="2022-03-31T00:00:00"/>
    <n v="64"/>
    <n v="63"/>
    <s v="SI"/>
    <s v="Entregado al area"/>
    <x v="1"/>
    <s v="19 DE ABRIL SE RECIBIERON PROPUESTAS_x000a_27 DE ABRIL ENTREGADO AL AREA"/>
    <m/>
    <d v="2022-04-27T00:00:00"/>
    <s v="May"/>
    <m/>
    <n v="28"/>
    <n v="27"/>
    <s v="N/A"/>
    <s v="FUNCIONAMIENTO"/>
    <s v="800-AC-2040-2021/800-AO-1908-2022"/>
    <d v="2022-04-27T00:00:00"/>
    <n v="1323137"/>
    <s v="MADE MUEBLES DE COLOMBIA "/>
    <m/>
    <n v="417833"/>
    <m/>
    <m/>
    <s v="2022-094"/>
    <d v="2022-03-07T00:00:00"/>
    <m/>
    <s v="BOGOTA"/>
    <s v="NACIONAL"/>
    <m/>
    <n v="0.24000011487848727"/>
    <n v="0"/>
    <n v="0"/>
    <n v="28"/>
  </r>
  <r>
    <n v="197"/>
    <s v="0240"/>
    <x v="2"/>
    <d v="2022-03-31T00:00:00"/>
    <x v="3"/>
    <s v="N/A"/>
    <s v="FR-300-GAA-0107-2022"/>
    <s v="N/A"/>
    <s v="Suministrar Cloruro Férrico en base líquida al 42% para ser utilizado en el tratamiento de las aguas residuales en la PTAR C."/>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m/>
    <s v="jun"/>
    <n v="71"/>
    <n v="70"/>
    <m/>
    <s v="FUNCIONAMIENTO"/>
    <m/>
    <m/>
    <m/>
    <m/>
    <m/>
    <e v="#VALUE!"/>
    <m/>
    <m/>
    <m/>
    <m/>
    <m/>
    <m/>
    <m/>
    <m/>
    <m/>
    <n v="1"/>
    <m/>
    <m/>
  </r>
  <r>
    <n v="198"/>
    <s v="0241"/>
    <x v="2"/>
    <d v="2022-03-31T00:00:00"/>
    <x v="3"/>
    <s v="N/A"/>
    <s v="FR-300-GAA-0108-2022"/>
    <s v="N/A"/>
    <s v="Suministrar Polímero acondicionante de lodos para deshidratación, utilizado en el proceso del tratamiento de las aguas residuales en la PTAR C."/>
    <s v="N/A"/>
    <m/>
    <s v="N/A"/>
    <s v=""/>
    <s v="N/A"/>
    <m/>
    <s v="N/A"/>
    <s v="N/A"/>
    <s v="N/A"/>
    <x v="3"/>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1"/>
    <n v="130"/>
    <m/>
    <s v="FUNCIONAMIENTO"/>
    <m/>
    <m/>
    <m/>
    <m/>
    <m/>
    <e v="#VALUE!"/>
    <m/>
    <m/>
    <m/>
    <m/>
    <m/>
    <m/>
    <m/>
    <m/>
    <m/>
    <n v="1"/>
    <m/>
    <m/>
  </r>
  <r>
    <n v="199"/>
    <s v="0242"/>
    <x v="2"/>
    <d v="2022-03-31T00:00:00"/>
    <x v="3"/>
    <s v="N/A"/>
    <s v="FR-300-GAA-0109-2022"/>
    <s v="N/A"/>
    <s v="Suministrar Polímero ayudante de floculación para ser utilizado en el tratamiento de las aguas residuales en la PTAR C."/>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m/>
    <s v="ago"/>
    <n v="131"/>
    <n v="130"/>
    <m/>
    <s v="FUNCIONAMIENTO"/>
    <m/>
    <m/>
    <m/>
    <m/>
    <m/>
    <e v="#VALUE!"/>
    <m/>
    <m/>
    <m/>
    <m/>
    <m/>
    <m/>
    <m/>
    <m/>
    <m/>
    <n v="1"/>
    <m/>
    <m/>
  </r>
  <r>
    <n v="200"/>
    <s v="0243"/>
    <x v="2"/>
    <d v="2022-03-31T00:00:00"/>
    <x v="3"/>
    <s v="N/A"/>
    <s v="FR-300-GAA-0110-2022"/>
    <s v="N/A"/>
    <s v="Suministrar producto para control de olores en el tratamiento de las aguas residuales de la PTAR C."/>
    <s v="N/A"/>
    <m/>
    <s v="900-IPU-0230-2022"/>
    <s v="IPU"/>
    <s v="N/A"/>
    <m/>
    <s v="N/A"/>
    <s v="N/A"/>
    <s v="N/A"/>
    <x v="0"/>
    <x v="0"/>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m/>
    <s v="ago"/>
    <n v="131"/>
    <n v="130"/>
    <m/>
    <s v="FUNCIONAMIENTO"/>
    <m/>
    <m/>
    <m/>
    <m/>
    <m/>
    <e v="#VALUE!"/>
    <m/>
    <m/>
    <m/>
    <m/>
    <m/>
    <m/>
    <m/>
    <m/>
    <m/>
    <n v="1"/>
    <m/>
    <m/>
  </r>
  <r>
    <n v="201"/>
    <s v="0244"/>
    <x v="2"/>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x v="5"/>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s v="Jul"/>
    <m/>
    <n v="74"/>
    <n v="74"/>
    <s v="N/A"/>
    <s v="INVERSION"/>
    <s v="500-CMA-1743-2021/300-AO-1944-2022"/>
    <d v="2022-05-31T00:00:00"/>
    <n v="878966428"/>
    <s v="CABLES DE ENERGIA Y TELECOMUNICACIONES SA"/>
    <n v="202205675"/>
    <n v="6294.6000000238419"/>
    <m/>
    <m/>
    <m/>
    <m/>
    <m/>
    <s v="YUMBO"/>
    <s v="MUNICIPAL"/>
    <s v="UNIDAD DE MANTENIMIENTO"/>
    <n v="7.1613143823217E-6"/>
    <n v="1"/>
    <n v="0"/>
    <n v="74"/>
  </r>
  <r>
    <n v="202"/>
    <s v="0245"/>
    <x v="2"/>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x v="1"/>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s v="Sep"/>
    <m/>
    <n v="155"/>
    <n v="151"/>
    <s v="N/A"/>
    <s v="FUNCIONAMIENTO"/>
    <s v="300-AO-2172-2022"/>
    <d v="2022-08-19T00:00:00"/>
    <n v="1256995507"/>
    <s v="PAYAN Y CIA LTDA "/>
    <n v="202208261"/>
    <n v="812"/>
    <m/>
    <m/>
    <m/>
    <m/>
    <m/>
    <s v="CALI"/>
    <s v="LOCAL"/>
    <s v="UNIDAD DE MANTENIMIENTO"/>
    <n v="6.4598438971244116E-7"/>
    <n v="1"/>
    <n v="2"/>
    <n v="109"/>
  </r>
  <r>
    <n v="203"/>
    <s v="0246"/>
    <x v="2"/>
    <d v="2022-03-31T00:00:00"/>
    <x v="3"/>
    <s v="GAA0639_x000a_GAA0663"/>
    <s v="FR-300-GAA-0102-2022"/>
    <s v="N/A"/>
    <s v="Suministro de equipos CHEMTRAC para plantas de tratamiento de Agua Potable"/>
    <n v="134184400"/>
    <m/>
    <s v="900-IPU-0246-2022"/>
    <s v="IPU"/>
    <n v="202202921"/>
    <m/>
    <s v="N/A"/>
    <s v="N/A"/>
    <s v="Menor cuantia"/>
    <x v="0"/>
    <x v="8"/>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m/>
    <s v="jun"/>
    <n v="69"/>
    <n v="63"/>
    <m/>
    <s v="INVERSION"/>
    <m/>
    <m/>
    <m/>
    <m/>
    <m/>
    <m/>
    <e v="#VALUE!"/>
    <m/>
    <m/>
    <m/>
    <m/>
    <m/>
    <m/>
    <m/>
    <m/>
    <n v="1"/>
    <m/>
    <m/>
  </r>
  <r>
    <n v="204"/>
    <s v="0247"/>
    <x v="2"/>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x v="1"/>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s v="Jul"/>
    <m/>
    <n v="98"/>
    <n v="94"/>
    <s v="N/A"/>
    <s v="FUNCIONAMIENTO"/>
    <s v="300-AO-1969-2022"/>
    <d v="2022-06-16T00:00:00"/>
    <n v="1795043027"/>
    <s v="CONSORCIO HA SP5-0247-2022"/>
    <n v="202205854"/>
    <n v="24935548"/>
    <m/>
    <m/>
    <m/>
    <m/>
    <m/>
    <m/>
    <m/>
    <s v="UNIDAD DE RECOLECCION"/>
    <n v="1.3701011837460779E-2"/>
    <n v="1"/>
    <n v="2"/>
    <n v="88"/>
  </r>
  <r>
    <n v="205"/>
    <s v="0248"/>
    <x v="0"/>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x v="5"/>
    <d v="2022-03-31T00:00:00"/>
    <n v="-44651"/>
    <n v="-44651"/>
    <s v="SI"/>
    <s v="Entregado al area"/>
    <x v="1"/>
    <s v="5 DE MAYO RESPUESTA A OBSERVACIONES_x000a_24 DE MAYO EN ACEPTACION DE LA OFERTA_x000a_9 de junio esperando polizas de los proveedores_x000a_30 de junio en espera de la polizas"/>
    <m/>
    <d v="2022-06-28T00:00:00"/>
    <s v="Jul"/>
    <m/>
    <n v="89"/>
    <n v="89"/>
    <s v="N/A"/>
    <s v="FUNCIONAMIENTO"/>
    <s v="400-CMA-1353-2020/400-AO-1949-2022_x000a_400-CMA-1353-2020/400-AO-1950-2022_x000a_400-CMA-1353-2020/400-AO-1952-2022"/>
    <s v="06/06/202"/>
    <n v="2032414666"/>
    <s v="MATRIX TELCOM LTDA_x000a_ELECTROCIVILES SAS_x000a_ENERGITEL SAS"/>
    <n v="202205740"/>
    <n v="13102"/>
    <m/>
    <m/>
    <m/>
    <m/>
    <m/>
    <s v="BOGOTA_x000a_RISALRALDA"/>
    <s v="NACIONAL"/>
    <s v="UNIDAD DE MANTTO RED FISICA"/>
    <n v="6.4464775606234484E-6"/>
    <n v="1"/>
    <n v="0"/>
    <n v="89"/>
  </r>
  <r>
    <n v="206"/>
    <s v="0249"/>
    <x v="2"/>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x v="11"/>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m/>
    <s v="jun"/>
    <n v="70"/>
    <n v="66"/>
    <m/>
    <s v="FUNCIONAMIENTO"/>
    <m/>
    <m/>
    <m/>
    <m/>
    <m/>
    <m/>
    <e v="#VALUE!"/>
    <m/>
    <m/>
    <m/>
    <m/>
    <m/>
    <m/>
    <m/>
    <m/>
    <n v="1"/>
    <m/>
    <m/>
  </r>
  <r>
    <n v="207"/>
    <s v="0250"/>
    <x v="2"/>
    <d v="2022-03-31T00:00:00"/>
    <x v="3"/>
    <s v="GAA0651"/>
    <s v="FR-300-GAA-0087-2022"/>
    <s v="N/A"/>
    <s v="Suministro de equipos de Automatismo y Telemetría"/>
    <n v="244211285"/>
    <m/>
    <s v="900-IPU-0250-2022"/>
    <s v="IPU"/>
    <n v="202201156"/>
    <m/>
    <s v="N/A"/>
    <s v="N/A"/>
    <s v="Menor cuantia"/>
    <x v="0"/>
    <x v="1"/>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m/>
    <s v="may"/>
    <n v="55"/>
    <n v="49"/>
    <m/>
    <s v="INVERSION"/>
    <m/>
    <m/>
    <m/>
    <m/>
    <m/>
    <m/>
    <e v="#VALUE!"/>
    <m/>
    <m/>
    <m/>
    <m/>
    <m/>
    <m/>
    <m/>
    <m/>
    <n v="1"/>
    <m/>
    <m/>
  </r>
  <r>
    <n v="208"/>
    <s v="0251"/>
    <x v="2"/>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x v="1"/>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s v="Sep"/>
    <m/>
    <n v="155"/>
    <n v="151"/>
    <s v="N/A"/>
    <s v="INVERSION"/>
    <s v="300-AO-2171-2022"/>
    <d v="2022-08-19T00:00:00"/>
    <n v="496040076"/>
    <s v="PAYAN Y CIA LTDA "/>
    <n v="202208260"/>
    <n v="5662567"/>
    <m/>
    <m/>
    <m/>
    <m/>
    <m/>
    <s v="CALI"/>
    <s v="LOCAL"/>
    <s v="UNIDAD DE MANTENIMIENTO"/>
    <n v="1.1286699560002118E-2"/>
    <n v="1"/>
    <n v="2"/>
    <n v="109"/>
  </r>
  <r>
    <n v="209"/>
    <s v="0252"/>
    <x v="2"/>
    <d v="2022-04-01T00:00:00"/>
    <x v="4"/>
    <s v="GAA0173"/>
    <s v="FR-300-GAA-0111-2022"/>
    <s v="N/A"/>
    <s v="Mitigación de inundaciones comuna 6 y valvulas antiretorno sectores varios 2022"/>
    <n v="999326770"/>
    <s v="31 DE DICIEMBRE 2022"/>
    <s v="900-IPU-0252-2022"/>
    <m/>
    <n v="202202779"/>
    <n v="1000000000"/>
    <s v="N/A"/>
    <s v="N/A"/>
    <s v="Mayor cuantia"/>
    <x v="0"/>
    <x v="1"/>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s v="Jul"/>
    <m/>
    <n v="118"/>
    <n v="113"/>
    <s v="N/A"/>
    <s v="INVERSION"/>
    <s v="300-AO-1960-2022"/>
    <d v="2022-06-16T00:00:00"/>
    <n v="981049546"/>
    <s v="ALVARO LAZARO DEL VALLE"/>
    <m/>
    <n v="18277224"/>
    <m/>
    <m/>
    <m/>
    <m/>
    <m/>
    <m/>
    <m/>
    <s v="UNIDAD DE INGENIERIA"/>
    <n v="1.8289537065038296E-2"/>
    <n v="1"/>
    <n v="2"/>
    <n v="98"/>
  </r>
  <r>
    <n v="210"/>
    <s v="0253"/>
    <x v="2"/>
    <d v="2022-04-01T00:00:00"/>
    <x v="4"/>
    <s v="GAA0174"/>
    <s v="FR-300-GAA-0126-2022"/>
    <s v="N/A"/>
    <s v="Obras PSMV Optimización y mejoramiento drenaje sectores varios - control de vertimientos canal oriental y entrega Río Cali"/>
    <n v="1234403575"/>
    <m/>
    <s v="900-IPU-0253-2022"/>
    <m/>
    <n v="202202780"/>
    <m/>
    <s v="N/A"/>
    <s v="N/A"/>
    <s v="Mayor cuantia"/>
    <x v="0"/>
    <x v="1"/>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s v="Jul"/>
    <m/>
    <n v="103"/>
    <n v="98"/>
    <s v="N/A"/>
    <s v="INVERSION"/>
    <s v="300-AO-1959-2022"/>
    <d v="2022-06-16T00:00:00"/>
    <n v="1212692702"/>
    <s v="ALVARO LAZARO DEL VALLE"/>
    <n v="202206262"/>
    <n v="21710873"/>
    <m/>
    <m/>
    <m/>
    <m/>
    <m/>
    <s v="CALI"/>
    <s v="LOCAL"/>
    <s v="UNIDAD DE INGENIERIA"/>
    <n v="1.7588148187273354E-2"/>
    <n v="1"/>
    <n v="2"/>
    <n v="103"/>
  </r>
  <r>
    <n v="211"/>
    <s v="0254"/>
    <x v="2"/>
    <d v="2022-04-04T00:00:00"/>
    <x v="4"/>
    <s v="GAA0254"/>
    <s v="FR-300-GAA-0122-2022"/>
    <s v="N/A"/>
    <s v="Suministro e instalación de generador Planta Puerto Mallarino"/>
    <n v="589996150"/>
    <m/>
    <s v="900-IPU-0254-2022"/>
    <s v="IPU"/>
    <n v="202202190"/>
    <m/>
    <s v="N/A"/>
    <s v="N/A"/>
    <s v="Mayor cuantia"/>
    <x v="0"/>
    <x v="1"/>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m/>
    <s v="jul"/>
    <n v="105"/>
    <n v="88"/>
    <m/>
    <s v="INVERSION"/>
    <m/>
    <m/>
    <m/>
    <m/>
    <m/>
    <m/>
    <m/>
    <m/>
    <m/>
    <m/>
    <m/>
    <m/>
    <m/>
    <m/>
    <m/>
    <n v="1"/>
    <m/>
    <m/>
  </r>
  <r>
    <n v="212"/>
    <s v="0255"/>
    <x v="2"/>
    <d v="2022-04-04T00:00:00"/>
    <x v="4"/>
    <s v="GAA0257"/>
    <s v="FR-300-GAA-0125-2022"/>
    <s v="N/A"/>
    <s v="Suministro de Soplador Lobular con variador de velocidad y complementarios"/>
    <n v="259196806"/>
    <m/>
    <s v="900-IPU-0255-2022"/>
    <m/>
    <n v="202202847"/>
    <m/>
    <s v="N/A"/>
    <s v="N/A"/>
    <s v="Menor cuantia"/>
    <x v="0"/>
    <x v="1"/>
    <d v="2022-04-21T00:00:00"/>
    <n v="-44655"/>
    <n v="-44672"/>
    <s v="SI"/>
    <s v="Entregado al area"/>
    <x v="1"/>
    <s v="9 de mayo en elaboracion de la fpa y cc_x000a_17 de mayo publicado_x000a_1 DE JUNIO SE RECIBEN OFERTAS_x000a_18 DE JULIO EN SOLICITUD DE POLIZAS_x000a_"/>
    <m/>
    <d v="2022-07-29T00:00:00"/>
    <s v="Jul"/>
    <m/>
    <n v="116"/>
    <n v="99"/>
    <s v="N/A"/>
    <s v="INVERSION"/>
    <s v="300-AO-2023-2022"/>
    <d v="2022-07-15T00:00:00"/>
    <n v="259196755"/>
    <s v="KAESER COMPRESORES DE COLOMBIA SAS"/>
    <n v="202207212"/>
    <n v="51"/>
    <m/>
    <m/>
    <m/>
    <m/>
    <m/>
    <s v="MUNICIPIO DE TENJO CUNDINAMARCA"/>
    <s v="NACIONAL"/>
    <s v="UNIDAD DE MANTENIMIENTO"/>
    <n v="1.9676168386118153E-7"/>
    <n v="1"/>
    <n v="2"/>
    <n v="116"/>
  </r>
  <r>
    <n v="213"/>
    <s v="0256"/>
    <x v="2"/>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x v="1"/>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s v="Jul"/>
    <m/>
    <n v="105"/>
    <n v="103"/>
    <s v="N/A"/>
    <s v="INVERSION"/>
    <s v="300-AO-1980-2022"/>
    <d v="2022-07-07T00:00:00"/>
    <n v="1634974621"/>
    <s v="SOPORTE A LA INGENIERIA SAS"/>
    <n v="202206979"/>
    <n v="651523"/>
    <m/>
    <m/>
    <m/>
    <m/>
    <m/>
    <s v="CALI"/>
    <s v="LOCAL"/>
    <s v="UNIDAD DE OPERACIÓN"/>
    <n v="3.9833246881629692E-4"/>
    <n v="1"/>
    <n v="2"/>
    <n v="105"/>
  </r>
  <r>
    <n v="214"/>
    <s v="0257"/>
    <x v="2"/>
    <d v="2022-04-07T00:00:00"/>
    <x v="4"/>
    <s v="GAA0670"/>
    <s v="FR-300-GAA-0258-2021"/>
    <s v="N/A"/>
    <s v="Rehabilitar los componentes priorizados de las estructuras de Captación y Pretratamiento de la PTAP Río Cali."/>
    <n v="936000000"/>
    <m/>
    <s v="900-IPU-0257-2022"/>
    <s v="IPU"/>
    <m/>
    <m/>
    <s v="108-202100108"/>
    <m/>
    <s v="Mayor cuantia"/>
    <x v="0"/>
    <x v="3"/>
    <d v="2022-04-06T00:00:00"/>
    <e v="#VALUE!"/>
    <e v="#VALUE!"/>
    <s v="NO"/>
    <s v="Cerrado"/>
    <x v="0"/>
    <m/>
    <s v="20 DE ABRIL EN REVISION DE LA FPA_x000a_5 DE MAYO EN RESPUESTA A OBSRVACIONES_x000a_17 de mayo en evaluacion sobre 1_x000a_06/06/2022 CERRADO  PORQUE EL OFERENTE NO SUBASANO"/>
    <d v="2022-06-06T00:00:00"/>
    <m/>
    <s v="jun"/>
    <n v="60"/>
    <n v="61"/>
    <m/>
    <s v="INVERSION"/>
    <m/>
    <m/>
    <m/>
    <m/>
    <m/>
    <m/>
    <m/>
    <m/>
    <m/>
    <m/>
    <m/>
    <m/>
    <m/>
    <m/>
    <m/>
    <n v="1"/>
    <m/>
    <m/>
  </r>
  <r>
    <n v="215"/>
    <s v="0258"/>
    <x v="1"/>
    <d v="2022-04-07T00:00:00"/>
    <x v="4"/>
    <s v="GE0189"/>
    <s v="FR-500-GE-0193-2022"/>
    <s v="N/A"/>
    <s v="Calibración de equipos de Medición"/>
    <n v="21000000"/>
    <m/>
    <s v="900-IPU-0258-2022"/>
    <s v="IPU"/>
    <n v="202203515"/>
    <s v=","/>
    <s v="N/A"/>
    <s v="N/A"/>
    <s v="Menor cuantia"/>
    <x v="0"/>
    <x v="7"/>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m/>
    <s v="jun"/>
    <n v="56"/>
    <n v="42"/>
    <m/>
    <s v="FUNCIONAMIENTO"/>
    <m/>
    <m/>
    <m/>
    <m/>
    <m/>
    <m/>
    <m/>
    <m/>
    <m/>
    <m/>
    <m/>
    <m/>
    <m/>
    <m/>
    <m/>
    <n v="1"/>
    <m/>
    <m/>
  </r>
  <r>
    <n v="216"/>
    <s v="0259"/>
    <x v="2"/>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x v="7"/>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m/>
    <s v="jun"/>
    <n v="56"/>
    <n v="37"/>
    <m/>
    <s v="FUNCIONAMIENTO"/>
    <m/>
    <m/>
    <m/>
    <m/>
    <m/>
    <m/>
    <m/>
    <m/>
    <m/>
    <m/>
    <m/>
    <m/>
    <m/>
    <m/>
    <m/>
    <n v="1"/>
    <m/>
    <m/>
  </r>
  <r>
    <n v="217"/>
    <s v="0260"/>
    <x v="2"/>
    <d v="2022-05-07T00:00:00"/>
    <x v="5"/>
    <s v="GAA0664"/>
    <s v="FR-300-GAA-0129-2022"/>
    <s v="N/A"/>
    <s v="OVERHOULT equipos electromecanicos de las estaciones de bombeo de agua potable"/>
    <n v="118131300"/>
    <s v="31 DE DICIEMBRE 2022"/>
    <s v="900-IPU-0217-2022"/>
    <m/>
    <n v="202203083"/>
    <n v="120000000"/>
    <s v="N/A"/>
    <s v="N/A"/>
    <s v="Menor cuantia"/>
    <x v="0"/>
    <x v="1"/>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s v="Sep"/>
    <m/>
    <n v="118"/>
    <n v="137"/>
    <s v="N/A"/>
    <s v="INVERSION"/>
    <s v="300-AO-2174-2022"/>
    <d v="2022-08-19T00:00:00"/>
    <n v="116874660"/>
    <s v="PAYAN Y CIA LTDA "/>
    <n v="202208263"/>
    <n v="1256640"/>
    <m/>
    <m/>
    <m/>
    <m/>
    <m/>
    <s v="CALI"/>
    <s v="LOCAL"/>
    <s v="UNIDAD DE MANTENIMIENTO"/>
    <n v="1.0637654880628589E-2"/>
    <n v="1"/>
    <n v="2"/>
    <n v="109"/>
  </r>
  <r>
    <n v="218"/>
    <s v="0261"/>
    <x v="2"/>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x v="15"/>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CMA-1974-2020/300-AO-1945-2022"/>
    <d v="2022-05-31T00:00:00"/>
    <n v="1976707016"/>
    <s v="EQUIPOS Y HERRAMIENTAS INDUSTRIALES SAS"/>
    <n v="202205653"/>
    <n v="0"/>
    <m/>
    <m/>
    <m/>
    <m/>
    <m/>
    <s v="CALI"/>
    <s v="LOCAL"/>
    <m/>
    <n v="0"/>
    <n v="1"/>
    <n v="0"/>
    <n v="67"/>
  </r>
  <r>
    <n v="219"/>
    <s v="0262"/>
    <x v="2"/>
    <d v="2022-04-07T00:00:00"/>
    <x v="4"/>
    <s v="GAA0271"/>
    <s v="FR-300-GAA-0131-2022"/>
    <s v="300-CM-1794-2020"/>
    <s v="Compra de valvulas para la Unidad de Distribución"/>
    <n v="207306980"/>
    <m/>
    <s v="N/A"/>
    <m/>
    <n v="202200775"/>
    <m/>
    <s v="N/A"/>
    <s v="N/A"/>
    <s v="N/A"/>
    <x v="1"/>
    <x v="15"/>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300-CM-1794-2020/300-AO-1943-2022"/>
    <d v="2022-05-31T00:00:00"/>
    <n v="207306980"/>
    <s v="EQUIPOS Y HERRAMIENTAS INDUSTRIALES SAS"/>
    <n v="202205662"/>
    <n v="0"/>
    <m/>
    <m/>
    <m/>
    <m/>
    <m/>
    <s v="EQUIPOS Y HERRAMIENTAS INDUSTRIALES SAS"/>
    <s v="CALI"/>
    <m/>
    <n v="0"/>
    <n v="1"/>
    <n v="0"/>
    <n v="67"/>
  </r>
  <r>
    <n v="220"/>
    <s v="0263"/>
    <x v="2"/>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x v="1"/>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s v="Sep"/>
    <m/>
    <n v="147"/>
    <n v="127"/>
    <s v="N/A"/>
    <s v="INVERSION"/>
    <s v="300-AO-2114-2022"/>
    <d v="2022-08-05T00:00:00"/>
    <n v="672598183"/>
    <s v="CONSORCIOS ACUEDUCTOS DEL VALLE"/>
    <n v="202207812"/>
    <n v="7227678"/>
    <m/>
    <m/>
    <m/>
    <m/>
    <m/>
    <s v="CALI"/>
    <s v="LOCAL"/>
    <s v="UNIDAD DE INGENIERIA"/>
    <n v="1.0631660862927954E-2"/>
    <n v="1"/>
    <n v="2"/>
    <n v="147"/>
  </r>
  <r>
    <n v="221"/>
    <s v="0264"/>
    <x v="2"/>
    <d v="2022-04-07T00:00:00"/>
    <x v="4"/>
    <s v="GAA0650"/>
    <s v="FR-300-GAA-0127-2022"/>
    <s v="N/A"/>
    <s v="Renovar los componentes priorizados del sistema de filtración de las PTAPS de la Red Alta (Río Cali y la Reforma)"/>
    <n v="1310994372"/>
    <m/>
    <m/>
    <s v=""/>
    <s v="202202667_x000a_202202668"/>
    <m/>
    <s v="N/A"/>
    <s v="N/A"/>
    <s v="Mayor cuantia"/>
    <x v="3"/>
    <x v="25"/>
    <m/>
    <e v="#VALUE!"/>
    <e v="#VALUE!"/>
    <s v="NO"/>
    <s v="Devuelto"/>
    <x v="2"/>
    <m/>
    <s v="DEVUELTO POR SOLICITUD DEL AREA EL 22 DE ABRIL"/>
    <d v="2022-04-22T00:00:00"/>
    <m/>
    <s v="abr"/>
    <n v="15"/>
    <n v="44673"/>
    <m/>
    <s v="INVERSION"/>
    <m/>
    <m/>
    <m/>
    <m/>
    <m/>
    <m/>
    <m/>
    <m/>
    <m/>
    <m/>
    <m/>
    <m/>
    <m/>
    <m/>
    <m/>
    <n v="1"/>
    <m/>
    <m/>
  </r>
  <r>
    <n v="222"/>
    <s v="0265"/>
    <x v="2"/>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x v="1"/>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m/>
    <s v="nov"/>
    <n v="231"/>
    <n v="217"/>
    <m/>
    <s v="INVERSION"/>
    <m/>
    <m/>
    <m/>
    <m/>
    <m/>
    <m/>
    <m/>
    <m/>
    <m/>
    <m/>
    <m/>
    <m/>
    <m/>
    <m/>
    <m/>
    <n v="1"/>
    <m/>
    <m/>
  </r>
  <r>
    <n v="223"/>
    <s v="0266"/>
    <x v="2"/>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x v="1"/>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s v="Jul"/>
    <m/>
    <n v="94"/>
    <n v="94"/>
    <s v="N/A"/>
    <s v="INVERSION"/>
    <s v="300-AO-1961-2022"/>
    <d v="2022-06-16T00:00:00"/>
    <n v="194435701"/>
    <s v="CMO CONTRATISTAS MANO OBRA SAS"/>
    <n v="202205857"/>
    <n v="6064299"/>
    <m/>
    <m/>
    <m/>
    <m/>
    <m/>
    <s v="CALI"/>
    <s v="LOCAL"/>
    <s v="UNIDAD DE MANTENIMIENTO"/>
    <n v="3.0245880299251869E-2"/>
    <n v="1"/>
    <n v="2"/>
    <n v="94"/>
  </r>
  <r>
    <n v="224"/>
    <s v="0267"/>
    <x v="2"/>
    <d v="2022-04-08T00:00:00"/>
    <x v="4"/>
    <s v="GAA0676"/>
    <s v="FR-300-GAA-0056-2022"/>
    <s v="N/A"/>
    <s v="Mantenimiento de las casetas de protección"/>
    <n v="5580200"/>
    <m/>
    <s v="900-IPU-0267-2022"/>
    <s v="IPU"/>
    <n v="202200777"/>
    <m/>
    <s v="N/A"/>
    <s v="N/A"/>
    <s v="Menor cuantia"/>
    <x v="0"/>
    <x v="18"/>
    <d v="2022-04-08T00:00:00"/>
    <e v="#VALUE!"/>
    <e v="#VALUE!"/>
    <s v="NO"/>
    <s v="Cerrado"/>
    <x v="0"/>
    <m/>
    <s v="20 de abril en elaboracion de la fpa y cc_x000a_28 DE ABRIL PUBLICADO _x000a_5 DE MAYO ESPERANDO LA RECEPCION DE OFERTAS_x000a_17 DE MAYO NO SE PRESENTO NINGUN PROPONENTE ESTA EN ACTA DE CIERRE"/>
    <d v="2022-05-17T00:00:00"/>
    <m/>
    <s v="may"/>
    <n v="39"/>
    <n v="39"/>
    <m/>
    <s v="FUNCIONAMIENTO"/>
    <m/>
    <m/>
    <m/>
    <m/>
    <m/>
    <m/>
    <m/>
    <m/>
    <m/>
    <m/>
    <m/>
    <m/>
    <m/>
    <m/>
    <m/>
    <n v="1"/>
    <m/>
    <m/>
  </r>
  <r>
    <n v="225"/>
    <s v="0268"/>
    <x v="2"/>
    <d v="2022-04-19T00:00:00"/>
    <x v="4"/>
    <s v="GAA0669"/>
    <s v="FR-300-GAA-0136-2022"/>
    <s v="N/A"/>
    <s v="Suministro e Instalación equipos de Instrumentación y Automatización"/>
    <n v="97403342"/>
    <m/>
    <s v="900-IPU-0268-2022"/>
    <s v="IPU"/>
    <n v="202203123"/>
    <m/>
    <s v="N/A"/>
    <s v="N/A"/>
    <s v="Menor cuantia"/>
    <x v="0"/>
    <x v="7"/>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m/>
    <s v="jun"/>
    <n v="45"/>
    <n v="43"/>
    <m/>
    <s v="INVERSION"/>
    <m/>
    <m/>
    <m/>
    <m/>
    <m/>
    <m/>
    <m/>
    <m/>
    <m/>
    <m/>
    <m/>
    <m/>
    <m/>
    <m/>
    <m/>
    <n v="1"/>
    <m/>
    <m/>
  </r>
  <r>
    <n v="226"/>
    <s v="0269"/>
    <x v="2"/>
    <d v="2022-04-19T00:00:00"/>
    <x v="4"/>
    <s v="GAA0264"/>
    <s v="FR-300-GAA-0137-2022"/>
    <s v="N/A"/>
    <s v="Mantenimiento y Calibración sistemas de Pesaje Plantas de Tratamiento de Agua Potable"/>
    <n v="29720250"/>
    <m/>
    <s v="900-IPU-0269-2022"/>
    <s v="IPU"/>
    <n v="202200893"/>
    <m/>
    <s v="N/A"/>
    <s v="N/A"/>
    <s v="Menor cuantia"/>
    <x v="0"/>
    <x v="18"/>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m/>
    <s v="jun"/>
    <n v="72"/>
    <n v="70"/>
    <m/>
    <s v="FUNCIONAMIENTO"/>
    <m/>
    <m/>
    <m/>
    <m/>
    <m/>
    <m/>
    <m/>
    <m/>
    <m/>
    <m/>
    <m/>
    <m/>
    <m/>
    <m/>
    <m/>
    <n v="1"/>
    <m/>
    <m/>
  </r>
  <r>
    <n v="227"/>
    <s v="0270"/>
    <x v="2"/>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x v="18"/>
    <d v="2022-04-21T00:00:00"/>
    <e v="#VALUE!"/>
    <e v="#VALUE!"/>
    <s v="NO"/>
    <s v="CERRADO PARA TRAMITAR COMO IP "/>
    <x v="0"/>
    <m/>
    <s v="5 DE MAYO EN INTELIGENCIA DE MERCADO_x000a_17 de mayo en inteligencia de mercado_x000a_24 DE MAYO EN INTELIGENCIA DE MERCADO"/>
    <d v="2022-06-02T00:00:00"/>
    <m/>
    <s v="jun"/>
    <n v="44"/>
    <n v="42"/>
    <m/>
    <s v="INVERSION"/>
    <m/>
    <m/>
    <m/>
    <m/>
    <m/>
    <m/>
    <m/>
    <m/>
    <m/>
    <m/>
    <m/>
    <m/>
    <m/>
    <m/>
    <m/>
    <n v="1"/>
    <m/>
    <m/>
  </r>
  <r>
    <n v="228"/>
    <s v="0271"/>
    <x v="2"/>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x v="1"/>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m/>
    <s v="dic"/>
    <n v="227"/>
    <n v="225"/>
    <m/>
    <s v="INVERSION"/>
    <m/>
    <m/>
    <m/>
    <m/>
    <m/>
    <m/>
    <m/>
    <m/>
    <m/>
    <m/>
    <m/>
    <m/>
    <m/>
    <m/>
    <m/>
    <n v="1"/>
    <m/>
    <m/>
  </r>
  <r>
    <n v="229"/>
    <s v="0272"/>
    <x v="1"/>
    <d v="2022-04-19T00:00:00"/>
    <x v="4"/>
    <s v="GE0207_x000a_GE0249"/>
    <s v="FR-500-GE-0195-2022"/>
    <s v="300-CMA-1974-2020"/>
    <s v="Suministro de materiales, elementos de ferretería, herramientas y elementos afines para EMCALI EICE ESP"/>
    <n v="150974278"/>
    <s v="60 dias"/>
    <s v="N/A"/>
    <m/>
    <n v="202203560"/>
    <m/>
    <s v="N/A"/>
    <s v="N/A"/>
    <s v="N/A"/>
    <x v="1"/>
    <x v="15"/>
    <d v="2022-04-20T00:00:00"/>
    <e v="#REF!"/>
    <e v="#REF!"/>
    <s v="SI"/>
    <s v="Entregado al area"/>
    <x v="1"/>
    <s v="17 de mayo en invitacion de ofertas_x000a_23 DE MAYO EN ACEPTACION DE OFERTA_x000a_9 de junio entregado al area"/>
    <m/>
    <d v="2022-06-09T00:00:00"/>
    <s v="Jun"/>
    <m/>
    <n v="51"/>
    <n v="50"/>
    <s v="N/A"/>
    <s v="INVERSION"/>
    <s v="300-CMA-1974-2020/500-AO-1929-2022_x000a_300-CMA-1974-2020 500-AO-1930-2022"/>
    <d v="2022-05-25T00:00:00"/>
    <n v="150974278"/>
    <s v="EQUIPOS Y HERRAMIENTAS INDUSTRIALES SAS"/>
    <s v="202205614_x000a_20225615"/>
    <n v="0"/>
    <m/>
    <m/>
    <m/>
    <m/>
    <m/>
    <s v="YUMBO"/>
    <s v="MUNICIPAL"/>
    <m/>
    <n v="0"/>
    <n v="1"/>
    <n v="0"/>
    <n v="51"/>
  </r>
  <r>
    <n v="230"/>
    <s v="0273"/>
    <x v="1"/>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x v="5"/>
    <d v="2022-04-20T00:00:00"/>
    <n v="43"/>
    <n v="43"/>
    <s v="SI"/>
    <s v="Entregado al area"/>
    <x v="1"/>
    <s v="5 DE MAYO EN REVISION POR PARTE DE LA COORDINADORA_x000a_23 DE MAYO ENTREGADO AL AREA"/>
    <m/>
    <d v="2022-05-23T00:00:00"/>
    <s v="May"/>
    <m/>
    <n v="33"/>
    <n v="33"/>
    <s v="N/A"/>
    <s v="FUNCIONAMIENTO"/>
    <s v="300-CMA-1743-2021/500-AO-1915-2022"/>
    <d v="2022-05-13T00:00:00"/>
    <n v="575920016"/>
    <s v="CENTELSA SA"/>
    <m/>
    <n v="30311580"/>
    <m/>
    <m/>
    <m/>
    <m/>
    <m/>
    <m/>
    <m/>
    <m/>
    <n v="5.0000000329906924E-2"/>
    <n v="1"/>
    <n v="0"/>
    <n v="33"/>
  </r>
  <r>
    <n v="231"/>
    <s v="0274"/>
    <x v="2"/>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x v="25"/>
    <m/>
    <e v="#VALUE!"/>
    <e v="#VALUE!"/>
    <s v="NO"/>
    <s v="Devuelto"/>
    <x v="2"/>
    <m/>
    <s v="DEVUELTO POR SOLICITUD DEL AREA EL 25DE ABRIL"/>
    <d v="2022-04-25T00:00:00"/>
    <m/>
    <s v="abr"/>
    <n v="4"/>
    <n v="44676"/>
    <m/>
    <s v="FUNCIONAMIENTO"/>
    <m/>
    <m/>
    <m/>
    <m/>
    <m/>
    <m/>
    <m/>
    <m/>
    <m/>
    <m/>
    <m/>
    <m/>
    <m/>
    <m/>
    <m/>
    <n v="1"/>
    <m/>
    <m/>
  </r>
  <r>
    <n v="232"/>
    <s v="0275"/>
    <x v="1"/>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x v="1"/>
    <d v="2022-04-22T00:00:00"/>
    <e v="#VALUE!"/>
    <e v="#VALUE!"/>
    <s v="NO"/>
    <s v="Cerrado"/>
    <x v="0"/>
    <m/>
    <s v="9 de mayo en elaboracion de la fpa y cc_x000a_24 DE MAYO SE PUBLICARA_x000a_9 DE JUNIO CERRADO POR FALTA DE PRESUPUESTO"/>
    <d v="2022-06-09T00:00:00"/>
    <m/>
    <s v="jun"/>
    <n v="49"/>
    <n v="48"/>
    <m/>
    <s v="INVERSION"/>
    <m/>
    <m/>
    <m/>
    <m/>
    <m/>
    <m/>
    <m/>
    <m/>
    <m/>
    <m/>
    <m/>
    <m/>
    <m/>
    <m/>
    <m/>
    <n v="1"/>
    <m/>
    <m/>
  </r>
  <r>
    <n v="233"/>
    <s v="0276"/>
    <x v="1"/>
    <d v="2022-04-21T00:00:00"/>
    <x v="4"/>
    <s v="GE0291"/>
    <s v="FR-500-GE-0196-2022"/>
    <s v="N/A"/>
    <s v="Suministro DDP y configuaración de medidores ION SCHNEIDER 92040 para la calidad de la energía en subestaciones, , clase A."/>
    <n v="886776000"/>
    <m/>
    <s v="900-IPU-0276-2022"/>
    <s v="IPU"/>
    <n v="202202877"/>
    <m/>
    <s v="N/A"/>
    <s v="N/A"/>
    <s v="Mayor cuantia"/>
    <x v="0"/>
    <x v="26"/>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m/>
    <s v="ago"/>
    <n v="103"/>
    <n v="81"/>
    <s v="G"/>
    <s v="INVERSION"/>
    <m/>
    <m/>
    <m/>
    <m/>
    <m/>
    <m/>
    <m/>
    <m/>
    <m/>
    <m/>
    <m/>
    <m/>
    <m/>
    <m/>
    <m/>
    <n v="1"/>
    <m/>
    <m/>
  </r>
  <r>
    <n v="234"/>
    <s v="0277"/>
    <x v="6"/>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x v="8"/>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s v="Aug"/>
    <m/>
    <n v="103"/>
    <n v="102"/>
    <s v="N/A"/>
    <s v="FUNCIONAMIENTO"/>
    <s v="200-AO-2035-2022"/>
    <d v="2022-07-19T00:00:00"/>
    <n v="1477993090"/>
    <s v="GRUPOSIT SAS"/>
    <n v="202207181"/>
    <n v="6858350"/>
    <m/>
    <m/>
    <m/>
    <m/>
    <m/>
    <s v="CALI"/>
    <s v="LOCAL"/>
    <s v="GTI"/>
    <n v="4.6188795829972054E-3"/>
    <n v="0"/>
    <n v="2"/>
    <n v="103"/>
  </r>
  <r>
    <n v="235"/>
    <s v="0278"/>
    <x v="5"/>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x v="9"/>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s v="Aug"/>
    <m/>
    <n v="131"/>
    <n v="130"/>
    <s v="N/A"/>
    <s v="FUNCIONAMIENTO"/>
    <s v="800-AO-2146-2022"/>
    <d v="2022-08-11T00:00:00"/>
    <n v="999600000"/>
    <s v="KOMATSU COLOMBIA SAS"/>
    <n v="202207814"/>
    <n v="53553998"/>
    <m/>
    <m/>
    <m/>
    <m/>
    <m/>
    <s v="CHIA CUNDINAMARCA"/>
    <s v="NACIONAL"/>
    <s v="UNIDAD GESTION ADMINISTRATIVA"/>
    <n v="5.0851060815134463E-2"/>
    <n v="0"/>
    <n v="2"/>
    <n v="105"/>
  </r>
  <r>
    <n v="236"/>
    <s v="0279"/>
    <x v="5"/>
    <d v="2022-04-21T00:00:00"/>
    <x v="4"/>
    <s v="GHA0080"/>
    <s v="FR-800-GHA-0145-2022"/>
    <s v="900-CMA-1925-2022"/>
    <s v="Realizar las adecuaciones locativas en el Centro de Atención Yumbo y obras complementarias"/>
    <n v="1728625910"/>
    <m/>
    <s v="N/A"/>
    <s v=""/>
    <s v="202203022_x000a_202203124"/>
    <n v="112460756"/>
    <s v="N/A"/>
    <s v="N/A"/>
    <s v="N/A"/>
    <x v="3"/>
    <x v="14"/>
    <d v="2022-04-26T00:00:00"/>
    <e v="#VALUE!"/>
    <e v="#VALUE!"/>
    <s v="NO"/>
    <s v="Devuelto"/>
    <x v="2"/>
    <m/>
    <s v="5 de mayo se devolvio al area para que se incluya en el contrato marco de locativos"/>
    <d v="2022-05-05T00:00:00"/>
    <m/>
    <s v="may"/>
    <n v="14"/>
    <n v="9"/>
    <s v="N/A"/>
    <s v="INVERSION"/>
    <m/>
    <m/>
    <m/>
    <m/>
    <m/>
    <m/>
    <m/>
    <m/>
    <m/>
    <m/>
    <m/>
    <m/>
    <m/>
    <m/>
    <m/>
    <n v="0"/>
    <m/>
    <m/>
  </r>
  <r>
    <n v="237"/>
    <s v="0280"/>
    <x v="5"/>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x v="14"/>
    <d v="2022-04-22T00:00:00"/>
    <n v="42"/>
    <n v="41"/>
    <s v="SI"/>
    <s v="Entregado al area"/>
    <x v="1"/>
    <s v="9 de mayo para solicitud de polizas_x000a_13 DE MAYO ENTREGADO AL AREA"/>
    <m/>
    <d v="2022-05-13T00:00:00"/>
    <s v="May"/>
    <m/>
    <n v="22"/>
    <n v="21"/>
    <s v="N/A"/>
    <s v="FUNCIONAMIENTO"/>
    <s v="800-CMA-1913-2021/800-AO-1909-2022"/>
    <d v="2022-05-02T00:00:00"/>
    <n v="106837718"/>
    <s v="GUSTAVO ADOLFO  TORRES DUARTE"/>
    <m/>
    <n v="5623038"/>
    <m/>
    <m/>
    <s v="N/A"/>
    <s v="N/A"/>
    <m/>
    <s v="CALI"/>
    <s v="LOCAL"/>
    <m/>
    <n v="5.0000001778398147E-2"/>
    <n v="0"/>
    <n v="0"/>
    <n v="22"/>
  </r>
  <r>
    <n v="238"/>
    <s v="0281"/>
    <x v="5"/>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x v="10"/>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m/>
    <s v="jul"/>
    <n v="87"/>
    <n v="87"/>
    <m/>
    <s v="FUNCIONAMIENTO"/>
    <m/>
    <m/>
    <m/>
    <m/>
    <m/>
    <m/>
    <m/>
    <m/>
    <m/>
    <m/>
    <m/>
    <m/>
    <m/>
    <m/>
    <m/>
    <n v="0"/>
    <m/>
    <m/>
  </r>
  <r>
    <n v="239"/>
    <s v="0282"/>
    <x v="6"/>
    <d v="2022-04-22T00:00:00"/>
    <x v="4"/>
    <s v="GTI0021"/>
    <s v="FR-200-GTI-0096-2022"/>
    <s v="N/A"/>
    <s v="Contratar el servicio de soporte actualización y mantenimiento del software SAP"/>
    <n v="1240383280"/>
    <m/>
    <m/>
    <s v=""/>
    <s v="202203525_x000a_202202915"/>
    <m/>
    <s v="N/A"/>
    <s v="N/A"/>
    <s v="Mayor cuantia"/>
    <x v="3"/>
    <x v="3"/>
    <d v="2022-04-25T00:00:00"/>
    <e v="#VALUE!"/>
    <e v="#VALUE!"/>
    <s v="NO"/>
    <s v="Cerrado"/>
    <x v="0"/>
    <m/>
    <s v="5 DE MAYO EN ELABORACION DE LA FPA Y CC_x000a_17 de mayo en respuesta a observaciones_x000a_9 de junio cerrado porque se declaro desierto"/>
    <d v="2022-06-09T00:00:00"/>
    <m/>
    <s v="jun"/>
    <n v="48"/>
    <n v="45"/>
    <m/>
    <s v="FUNCIONAMIENTO"/>
    <m/>
    <m/>
    <m/>
    <m/>
    <m/>
    <m/>
    <m/>
    <m/>
    <m/>
    <m/>
    <m/>
    <m/>
    <m/>
    <m/>
    <m/>
    <n v="0"/>
    <m/>
    <m/>
  </r>
  <r>
    <n v="240"/>
    <s v="0283"/>
    <x v="6"/>
    <d v="2022-04-22T00:00:00"/>
    <x v="4"/>
    <s v="GTI0179"/>
    <s v="FR-200-GTI-0099-2022"/>
    <s v="N/A"/>
    <s v="Servicio de Soporte y Mantenimiento aplicativo JURISOFT"/>
    <n v="36930000"/>
    <m/>
    <s v="900-IPU-0283-2022"/>
    <s v="IPU"/>
    <n v="202202335"/>
    <m/>
    <s v="N/A"/>
    <s v="N/A"/>
    <s v="Menor cuantia"/>
    <x v="0"/>
    <x v="8"/>
    <d v="2022-04-25T00:00:00"/>
    <e v="#VALUE!"/>
    <e v="#VALUE!"/>
    <s v="NO"/>
    <s v="Cerrado"/>
    <x v="0"/>
    <m/>
    <s v="17 de mayo respuesta a observaciones_x000a_24 DE MAYO EN EVALUACION SOBRE 1_x000a_8 junio en evaluacion sobre 1 se va a cerrar, SE REALIZARA POR SECRETARIA GENERAL PORQUE ES UN SAM"/>
    <d v="2022-06-08T00:00:00"/>
    <m/>
    <s v="jun"/>
    <n v="47"/>
    <n v="44"/>
    <m/>
    <s v="FUNCIONAMIENTO"/>
    <m/>
    <m/>
    <m/>
    <m/>
    <m/>
    <m/>
    <m/>
    <m/>
    <m/>
    <m/>
    <m/>
    <m/>
    <m/>
    <m/>
    <m/>
    <n v="0"/>
    <m/>
    <m/>
  </r>
  <r>
    <n v="241"/>
    <s v="0284"/>
    <x v="6"/>
    <d v="2022-04-22T00:00:00"/>
    <x v="4"/>
    <s v="GTI0106"/>
    <s v="FR-200-GTI-0100-2022"/>
    <s v="N/A"/>
    <s v="Servicio de Soporte y Mantenimiento aplicativo_x000a_DARUMA"/>
    <n v="41142193"/>
    <m/>
    <s v="900-IPU-0284-2022"/>
    <s v="IPU"/>
    <s v="202201949_x000a_202203487"/>
    <m/>
    <s v="N/A"/>
    <s v="N/A"/>
    <s v="Menor cuantia"/>
    <x v="0"/>
    <x v="8"/>
    <d v="2022-04-25T00:00:00"/>
    <e v="#VALUE!"/>
    <e v="#VALUE!"/>
    <s v="NO"/>
    <s v="Cerrado"/>
    <x v="0"/>
    <m/>
    <s v="17 DE MAYO EN REVISION DE LA CC _x000a_26 DE MAYO SE RECIBEN OFERTAS_x000a_2 de junio cerrado  SE DEVOLVIO PORQUE SE SACARA POR SECREATRIA GENERAL"/>
    <d v="2022-06-02T00:00:00"/>
    <m/>
    <s v="jun"/>
    <n v="41"/>
    <n v="38"/>
    <m/>
    <s v="FUNCIONAMIENTO"/>
    <m/>
    <m/>
    <m/>
    <m/>
    <m/>
    <m/>
    <m/>
    <m/>
    <m/>
    <m/>
    <m/>
    <m/>
    <m/>
    <m/>
    <m/>
    <n v="0"/>
    <m/>
    <m/>
  </r>
  <r>
    <n v="242"/>
    <s v="0285"/>
    <x v="1"/>
    <d v="2022-04-08T00:00:00"/>
    <x v="4"/>
    <s v="GE0313"/>
    <s v="FR-500-GE-0115-2022"/>
    <s v="N/A"/>
    <s v="Calibración de Instrumentos y Equipos de Laboratorio"/>
    <n v="40712800"/>
    <m/>
    <s v="900-IPU-0285-2022"/>
    <s v="IPU"/>
    <n v="202201683"/>
    <m/>
    <s v="N/A"/>
    <s v="N/A"/>
    <s v="Menor cuantia"/>
    <x v="0"/>
    <x v="23"/>
    <d v="2022-04-08T00:00:00"/>
    <e v="#VALUE!"/>
    <e v="#VALUE!"/>
    <s v="NO"/>
    <s v="Cerrado"/>
    <x v="0"/>
    <m/>
    <s v="28 de abril publicado _x000a_11 de mayo se reciben ofertas_x000a_17 DE MAYO SE CERRO PORQUE NINGUN OFERENTE SE PRESENTO"/>
    <d v="2022-05-17T00:00:00"/>
    <m/>
    <s v="may"/>
    <n v="39"/>
    <n v="39"/>
    <s v="G"/>
    <s v="FUNCIONAMIENTO"/>
    <m/>
    <m/>
    <m/>
    <m/>
    <m/>
    <m/>
    <n v="40712800"/>
    <m/>
    <m/>
    <m/>
    <m/>
    <m/>
    <m/>
    <m/>
    <m/>
    <n v="1"/>
    <m/>
    <m/>
  </r>
  <r>
    <n v="243"/>
    <s v="0286"/>
    <x v="2"/>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x v="1"/>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m/>
    <s v="dic"/>
    <n v="221"/>
    <n v="220"/>
    <m/>
    <s v="INVERSION"/>
    <m/>
    <m/>
    <m/>
    <m/>
    <m/>
    <m/>
    <m/>
    <m/>
    <m/>
    <m/>
    <m/>
    <m/>
    <m/>
    <m/>
    <m/>
    <n v="1"/>
    <m/>
    <m/>
  </r>
  <r>
    <n v="244"/>
    <s v="0287"/>
    <x v="2"/>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x v="2"/>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m/>
    <s v="oct"/>
    <n v="177"/>
    <n v="173"/>
    <m/>
    <s v="INVERSION"/>
    <m/>
    <m/>
    <m/>
    <m/>
    <m/>
    <m/>
    <m/>
    <m/>
    <m/>
    <m/>
    <m/>
    <m/>
    <m/>
    <m/>
    <m/>
    <n v="1"/>
    <m/>
    <m/>
  </r>
  <r>
    <n v="245"/>
    <s v="0288"/>
    <x v="2"/>
    <d v="2022-04-25T00:00:00"/>
    <x v="4"/>
    <s v="GAA0266_x000a_GAA0268"/>
    <s v="FR-300-GAA-0139-2022"/>
    <s v="N/A"/>
    <s v="Suministro e instalación de unidades de bombeo centrifugas PTAP y Bocatoma &quot;La Reforma&quot;"/>
    <n v="62299950"/>
    <m/>
    <s v="900-IPU-0288-2022"/>
    <s v="IPU"/>
    <s v="202202917_x000a_202202918"/>
    <m/>
    <s v="N/A"/>
    <s v="N/A"/>
    <s v="Menor cuantia"/>
    <x v="0"/>
    <x v="7"/>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m/>
    <s v="jun"/>
    <n v="43"/>
    <n v="42"/>
    <m/>
    <s v="INVERSION"/>
    <m/>
    <m/>
    <m/>
    <m/>
    <m/>
    <m/>
    <m/>
    <m/>
    <m/>
    <m/>
    <m/>
    <m/>
    <m/>
    <m/>
    <m/>
    <n v="1"/>
    <m/>
    <m/>
  </r>
  <r>
    <n v="246"/>
    <s v="0289"/>
    <x v="6"/>
    <d v="2022-04-26T00:00:00"/>
    <x v="4"/>
    <s v="GTI0082"/>
    <s v="FR-200-GTI-0098-2022"/>
    <s v="N/A"/>
    <s v="Servicio en la nube (SaaS) del software AutoCad (AutoCad Full, AutoCad LT)"/>
    <n v="97036465"/>
    <m/>
    <s v="900-IPU-0289-2022"/>
    <s v="IPU"/>
    <n v="202202916"/>
    <m/>
    <s v="N/A"/>
    <s v="N/A"/>
    <s v="Menor cuantia"/>
    <x v="0"/>
    <x v="8"/>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m/>
    <s v="nov"/>
    <n v="212"/>
    <n v="212"/>
    <m/>
    <s v="FUNCIONAMIENTO"/>
    <m/>
    <m/>
    <m/>
    <m/>
    <m/>
    <m/>
    <m/>
    <m/>
    <m/>
    <m/>
    <m/>
    <m/>
    <m/>
    <m/>
    <m/>
    <n v="0"/>
    <m/>
    <m/>
  </r>
  <r>
    <n v="247"/>
    <s v="0290"/>
    <x v="2"/>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x v="13"/>
    <d v="2022-04-25T00:00:00"/>
    <e v="#VALUE!"/>
    <e v="#VALUE!"/>
    <s v="NO"/>
    <s v="Devuelto"/>
    <x v="2"/>
    <m/>
    <s v="17 de mayo el area solicito unos ajustes y solicito devolverla"/>
    <d v="2022-05-17T00:00:00"/>
    <m/>
    <s v="may"/>
    <n v="22"/>
    <n v="22"/>
    <s v="G"/>
    <s v="FUNCIONAMIENTO"/>
    <m/>
    <m/>
    <m/>
    <m/>
    <m/>
    <m/>
    <m/>
    <m/>
    <m/>
    <m/>
    <m/>
    <m/>
    <m/>
    <m/>
    <m/>
    <n v="1"/>
    <m/>
    <m/>
  </r>
  <r>
    <n v="248"/>
    <s v="0291"/>
    <x v="2"/>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x v="15"/>
    <d v="2022-04-27T00:00:00"/>
    <n v="-44678"/>
    <n v="-44678"/>
    <s v="SI"/>
    <s v="Entregado al area"/>
    <x v="1"/>
    <s v="17 de mayo en invitacion de ofertas_x000a_23 DE MAYOEN RECEPCION DE OFERTAS_x000a_9 de junio en rp"/>
    <m/>
    <d v="2022-06-29T00:00:00"/>
    <s v="Jul"/>
    <m/>
    <n v="63"/>
    <n v="63"/>
    <s v="N/A"/>
    <s v="FUNCIONAMIENTO"/>
    <s v="300-CMA-1974-2020-300-AO-1964-2022_x000a__x000a_300-CMA-1974-2020-300-AO-1965-2022"/>
    <d v="2022-06-21T00:00:00"/>
    <n v="54579607"/>
    <s v="ALMACEN  RODAFER  RF SAS_x000a_EQUIPOS Y HERRAMIENTAS INDUSTRAILES SAS"/>
    <s v="202205824_x000a_202205825"/>
    <n v="268751"/>
    <m/>
    <m/>
    <m/>
    <m/>
    <m/>
    <s v="CALI"/>
    <s v="LOCAL"/>
    <s v="UNIDAD DE BOMBEO"/>
    <n v="4.8998914425113695E-3"/>
    <n v="1"/>
    <n v="0"/>
    <n v="63"/>
  </r>
  <r>
    <n v="249"/>
    <s v="0292"/>
    <x v="2"/>
    <d v="2022-04-27T00:00:00"/>
    <x v="4"/>
    <s v="GAA0636"/>
    <s v="FR-300-GAA-0144-2022"/>
    <s v="N/A"/>
    <s v="Suministro e Instalación de valvulas cheque para clorinadores PTAP"/>
    <n v="146915020"/>
    <m/>
    <s v="900-IPU-0292-2022"/>
    <s v="IPU"/>
    <n v="202202905"/>
    <m/>
    <s v="N/A"/>
    <s v="N/A"/>
    <s v="Menor cuantia"/>
    <x v="0"/>
    <x v="23"/>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m/>
    <s v="may"/>
    <n v="23"/>
    <n v="11"/>
    <s v="G"/>
    <s v="FUNCIONAMIENTO"/>
    <m/>
    <m/>
    <m/>
    <m/>
    <m/>
    <m/>
    <m/>
    <m/>
    <m/>
    <m/>
    <m/>
    <m/>
    <m/>
    <m/>
    <m/>
    <n v="1"/>
    <m/>
    <m/>
  </r>
  <r>
    <n v="250"/>
    <s v="0293"/>
    <x v="2"/>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x v="2"/>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m/>
    <s v="ago"/>
    <n v="94"/>
    <n v="88"/>
    <m/>
    <s v="FUNCIONAMIENTO"/>
    <m/>
    <m/>
    <m/>
    <m/>
    <m/>
    <m/>
    <m/>
    <m/>
    <m/>
    <m/>
    <m/>
    <m/>
    <m/>
    <m/>
    <m/>
    <n v="1"/>
    <m/>
    <m/>
  </r>
  <r>
    <n v="251"/>
    <s v="0294"/>
    <x v="6"/>
    <d v="2022-04-29T00:00:00"/>
    <x v="4"/>
    <s v="GTI0027"/>
    <s v="FR-200-GTI-0101-2022"/>
    <s v="N/A"/>
    <s v="Renovación de las suscripciones en la nube de Microsoft Dynamics CRM"/>
    <n v="455000000"/>
    <m/>
    <s v="900-IPU-0294-2022"/>
    <s v="IPU"/>
    <n v="202203098"/>
    <m/>
    <s v="N/A"/>
    <s v="N/A"/>
    <s v="Menor cuantia"/>
    <x v="0"/>
    <x v="8"/>
    <d v="2022-04-30T00:00:00"/>
    <e v="#VALUE!"/>
    <e v="#VALUE!"/>
    <s v="NO"/>
    <s v="Cerrado"/>
    <x v="0"/>
    <m/>
    <s v="17 de mayo en recepcion de observaciones_x000a_9 de junio evaluacion_x000a_22 DE JUNIO CERRADO PORQUE NO CUMPLIERON LOS PROPONENTES"/>
    <d v="2022-06-22T00:00:00"/>
    <m/>
    <s v="jun"/>
    <n v="54"/>
    <n v="53"/>
    <m/>
    <s v="FUNCIONAMIENTO"/>
    <m/>
    <m/>
    <m/>
    <m/>
    <m/>
    <m/>
    <m/>
    <m/>
    <m/>
    <m/>
    <m/>
    <m/>
    <m/>
    <m/>
    <m/>
    <n v="0"/>
    <m/>
    <m/>
  </r>
  <r>
    <n v="252"/>
    <s v="0295"/>
    <x v="2"/>
    <d v="2022-04-29T00:00:00"/>
    <x v="4"/>
    <s v="GAA0374_x000a_GAA0375"/>
    <s v="FR-300-GAA-0142-2022"/>
    <s v="N/A"/>
    <s v="Suministro de elementos eléctricos para todas las estaciones de bombeo de aguas lluvias y/o residuales"/>
    <n v="62022081"/>
    <m/>
    <s v="900-IPU-0295-2022"/>
    <s v="IPU"/>
    <n v="202201836"/>
    <m/>
    <s v="N/A"/>
    <s v="N/A"/>
    <s v="Menor cuantia"/>
    <x v="0"/>
    <x v="13"/>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m/>
    <s v="jul"/>
    <n v="74"/>
    <n v="71"/>
    <m/>
    <s v="FUNCIONAMIENTO"/>
    <m/>
    <m/>
    <m/>
    <m/>
    <m/>
    <m/>
    <m/>
    <m/>
    <m/>
    <m/>
    <m/>
    <m/>
    <m/>
    <m/>
    <m/>
    <n v="1"/>
    <m/>
    <m/>
  </r>
  <r>
    <n v="253"/>
    <s v="0296"/>
    <x v="5"/>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x v="14"/>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s v="Sep"/>
    <m/>
    <n v="142"/>
    <n v="142"/>
    <s v="N/A"/>
    <s v="FUNCIONAMIENTO"/>
    <s v="800-CMA-1916-2021/800-AO-2259-2022"/>
    <d v="2022-09-07T00:00:00"/>
    <n v="36514969"/>
    <s v="CONSORCIO IGS 2021"/>
    <n v="202208357"/>
    <n v="0"/>
    <m/>
    <m/>
    <m/>
    <m/>
    <m/>
    <s v="CALI"/>
    <s v="LOCAL"/>
    <s v="UNIDAD GESTIÓN ADMINISTRATIVA"/>
    <n v="0"/>
    <n v="0"/>
    <n v="0"/>
    <n v="142"/>
  </r>
  <r>
    <n v="254"/>
    <s v="0297"/>
    <x v="5"/>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x v="14"/>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s v="Sep"/>
    <m/>
    <n v="142"/>
    <n v="142"/>
    <s v="N/A"/>
    <s v="FUNCIONAMIENTO"/>
    <s v="CMA-1925-2021-800-AO-2261-2022 "/>
    <d v="2022-09-07T00:00:00"/>
    <n v="50000000"/>
    <s v="CONSORCIO DOMAQ 2021"/>
    <n v="202208355"/>
    <n v="0"/>
    <m/>
    <m/>
    <m/>
    <m/>
    <m/>
    <s v="CALI"/>
    <s v="LOCAL"/>
    <s v="UNIDAD GESTIÓN ADMINISTRATIVA"/>
    <n v="0"/>
    <n v="0"/>
    <n v="0"/>
    <n v="142"/>
  </r>
  <r>
    <n v="255"/>
    <s v="0298"/>
    <x v="5"/>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x v="14"/>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s v="Sep"/>
    <m/>
    <n v="133"/>
    <n v="133"/>
    <s v="N/A"/>
    <s v="FUNCIONAMIENTO"/>
    <s v="800-CMA-1913-2021/800-AO-2250-2022"/>
    <d v="2022-09-05T00:00:00"/>
    <n v="50000000"/>
    <s v="GUSTAVO ADOLFO TORRES DUARTE"/>
    <n v="202208310"/>
    <n v="0"/>
    <m/>
    <m/>
    <m/>
    <m/>
    <m/>
    <s v="BOGOTA"/>
    <s v="NACIONAL"/>
    <s v="UNIDAD GESTIÓN ADMINISTRATIVA"/>
    <n v="0"/>
    <n v="0"/>
    <n v="0"/>
    <n v="133"/>
  </r>
  <r>
    <n v="256"/>
    <s v="0299"/>
    <x v="5"/>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x v="10"/>
    <d v="2022-05-02T00:00:00"/>
    <e v="#VALUE!"/>
    <e v="#VALUE!"/>
    <s v="NO"/>
    <s v="Devuelto"/>
    <x v="2"/>
    <m/>
    <s v="23 DE MAYO EN INTELIGENCIA DE MERCADO_x000a_8 DE JUNIO CERRADO PARA SACAR POR IP_x000a_ESTE PROCESO SE DEVOLVIO PORQUE LO VAN A VOLVER A RADICAR CON ESPECIFICACIONES DISTINTAS "/>
    <d v="2022-07-27T00:00:00"/>
    <m/>
    <s v="jul"/>
    <n v="86"/>
    <n v="86"/>
    <m/>
    <s v="FUNCIONAMIENTO"/>
    <m/>
    <m/>
    <m/>
    <m/>
    <m/>
    <m/>
    <m/>
    <m/>
    <m/>
    <m/>
    <m/>
    <m/>
    <m/>
    <m/>
    <m/>
    <n v="0"/>
    <m/>
    <m/>
  </r>
  <r>
    <n v="257"/>
    <s v="0300"/>
    <x v="1"/>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x v="2"/>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m/>
    <s v="ago"/>
    <n v="91"/>
    <n v="91"/>
    <m/>
    <s v="FUNCIONAMIENTO"/>
    <m/>
    <m/>
    <m/>
    <m/>
    <m/>
    <m/>
    <m/>
    <m/>
    <m/>
    <m/>
    <m/>
    <m/>
    <m/>
    <m/>
    <m/>
    <n v="1"/>
    <m/>
    <m/>
  </r>
  <r>
    <n v="258"/>
    <s v="0301"/>
    <x v="2"/>
    <d v="2022-05-05T00:00:00"/>
    <x v="5"/>
    <s v="GAA0667"/>
    <s v="FR-300-GAA-0148-2022"/>
    <s v="N/A"/>
    <s v="Suministro valvulas bocatoma Río Cauca"/>
    <n v="137054145"/>
    <m/>
    <s v="900-IPU-0301-2022"/>
    <s v="IPU"/>
    <n v="202203121"/>
    <m/>
    <s v="N/A"/>
    <s v="N/A"/>
    <s v="Menor cuantia"/>
    <x v="0"/>
    <x v="13"/>
    <d v="2022-05-10T00:00:00"/>
    <e v="#VALUE!"/>
    <e v="#VALUE!"/>
    <s v="NO"/>
    <s v="CERRADO PARA TRAMITAR COMO IP "/>
    <x v="0"/>
    <m/>
    <s v="17 de mayo en inteligencia de mercado_x000a_24 DE MAYO EN INTELIGENCIA DE MERCADO_x000a_9 de junio pendiente firma de la fpa y cc"/>
    <d v="2022-06-09T00:00:00"/>
    <m/>
    <s v="jun"/>
    <n v="35"/>
    <n v="30"/>
    <m/>
    <s v="FUNCIONAMIENTO"/>
    <m/>
    <m/>
    <m/>
    <m/>
    <m/>
    <m/>
    <m/>
    <m/>
    <m/>
    <m/>
    <m/>
    <m/>
    <m/>
    <m/>
    <m/>
    <n v="1"/>
    <m/>
    <m/>
  </r>
  <r>
    <n v="259"/>
    <s v="0302"/>
    <x v="2"/>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x v="1"/>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s v="Sep"/>
    <m/>
    <n v="120"/>
    <n v="115"/>
    <s v="N/A"/>
    <s v="FUNCIONAMIENTO"/>
    <s v="300-AO-2175-2022"/>
    <d v="2022-08-19T00:00:00"/>
    <n v="271765060"/>
    <s v="PAYAN Y CIA LTDA "/>
    <n v="202208264"/>
    <n v="8225329"/>
    <m/>
    <m/>
    <m/>
    <m/>
    <m/>
    <s v="CALI"/>
    <s v="LOCAL"/>
    <s v="UNIDAD DE MANTENIMIENTO"/>
    <n v="2.9377183371819236E-2"/>
    <n v="1"/>
    <n v="2"/>
    <n v="109"/>
  </r>
  <r>
    <n v="260"/>
    <s v="0303"/>
    <x v="2"/>
    <d v="2022-05-04T00:00:00"/>
    <x v="5"/>
    <s v="GAA0303"/>
    <s v="FR-300-GAA-0059-2022"/>
    <s v="N/A"/>
    <s v="Mantenimiento sistema Scada a estaciones y plantas de tratamiento de Agua Potable"/>
    <n v="179985537"/>
    <s v="120 DIAS"/>
    <s v="900-IPU-0303-2022"/>
    <m/>
    <n v="202200892"/>
    <m/>
    <s v="N/A"/>
    <s v="N/A"/>
    <s v="Menor cuantia"/>
    <x v="0"/>
    <x v="1"/>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s v="Jul"/>
    <m/>
    <n v="76"/>
    <n v="70"/>
    <s v="N/A"/>
    <s v="FUNCIONAMIENTO"/>
    <s v="300-AO-18987-2022"/>
    <d v="2022-07-08T00:00:00"/>
    <n v="176439396"/>
    <s v="CONINFRAESTRUCTURA SAS"/>
    <m/>
    <n v="3546141"/>
    <m/>
    <m/>
    <m/>
    <m/>
    <m/>
    <s v="BOGOTA"/>
    <s v="NACIONAL"/>
    <s v="UNIDAD DE MANTENIMIENTO"/>
    <n v="1.9702366418475059E-2"/>
    <n v="1"/>
    <n v="2"/>
    <n v="76"/>
  </r>
  <r>
    <n v="261"/>
    <s v="0304"/>
    <x v="6"/>
    <d v="2022-05-09T00:00:00"/>
    <x v="5"/>
    <s v="GTI0183"/>
    <s v="FR-200-GTI-0103-2022"/>
    <s v="N/A"/>
    <s v="Prestar los servicios de Cloud Funtional Services, Features y Parameters para la solución SAP Ariba Sourcing Suite de EMCALI EICE ESP"/>
    <n v="90170000"/>
    <m/>
    <m/>
    <s v=""/>
    <n v="202203526"/>
    <m/>
    <s v="N/A"/>
    <s v="N/A"/>
    <s v="Menor cuantia"/>
    <x v="3"/>
    <x v="3"/>
    <d v="2022-05-19T00:00:00"/>
    <e v="#VALUE!"/>
    <e v="#VALUE!"/>
    <s v="NO"/>
    <s v="CERRADO PARA TRAMITAR COMO IP "/>
    <x v="0"/>
    <m/>
    <m/>
    <d v="2022-06-07T00:00:00"/>
    <m/>
    <s v="jun"/>
    <n v="29"/>
    <n v="19"/>
    <m/>
    <s v="FUNCIONAMIENTO"/>
    <m/>
    <m/>
    <m/>
    <m/>
    <m/>
    <m/>
    <m/>
    <m/>
    <m/>
    <m/>
    <m/>
    <m/>
    <m/>
    <m/>
    <m/>
    <n v="0"/>
    <m/>
    <m/>
  </r>
  <r>
    <n v="262"/>
    <s v="0305"/>
    <x v="1"/>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x v="5"/>
    <d v="2022-05-09T00:00:00"/>
    <e v="#REF!"/>
    <e v="#REF!"/>
    <m/>
    <s v="Entregado al area"/>
    <x v="1"/>
    <s v="24 DE MAYO EN SOLICITUD DE POLIZAS"/>
    <m/>
    <d v="2022-06-02T00:00:00"/>
    <s v="Jun"/>
    <m/>
    <n v="24"/>
    <n v="24"/>
    <s v="N/A"/>
    <s v="FUNCIONAMIENTO"/>
    <s v="CMA-1743-2021/"/>
    <d v="2022-05-17T00:00:00"/>
    <n v="144299400"/>
    <s v="CENTELSA SA"/>
    <n v="202205444"/>
    <n v="7604100"/>
    <m/>
    <m/>
    <m/>
    <m/>
    <m/>
    <s v="YUMBO"/>
    <s v="LOCAL"/>
    <m/>
    <n v="5.0058754406580495E-2"/>
    <n v="1"/>
    <n v="0"/>
    <n v="24"/>
  </r>
  <r>
    <n v="263"/>
    <s v="0306"/>
    <x v="6"/>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x v="8"/>
    <d v="2022-05-18T00:00:00"/>
    <e v="#VALUE!"/>
    <e v="#VALUE!"/>
    <s v="NO"/>
    <s v="Cerrado"/>
    <x v="0"/>
    <m/>
    <s v="13 de junio en recepcion de ofertas_x000a_15 de julio en elaboracion de acta de cierre, las propuestas fueron inadmisibles"/>
    <d v="2022-07-15T00:00:00"/>
    <m/>
    <s v="jul"/>
    <n v="66"/>
    <n v="58"/>
    <m/>
    <s v="FUNCIONAMIENTO"/>
    <m/>
    <m/>
    <m/>
    <m/>
    <m/>
    <m/>
    <e v="#VALUE!"/>
    <m/>
    <m/>
    <m/>
    <m/>
    <m/>
    <m/>
    <m/>
    <m/>
    <n v="0"/>
    <m/>
    <m/>
  </r>
  <r>
    <n v="264"/>
    <s v="0307"/>
    <x v="2"/>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x v="1"/>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s v="Aug"/>
    <m/>
    <n v="110"/>
    <n v="109"/>
    <s v="N/A"/>
    <s v="FUNCIONAMIENTO"/>
    <s v="300-PS-2179-2022"/>
    <d v="2022-08-19T00:00:00"/>
    <n v="10770820097"/>
    <s v="DELTEC SA"/>
    <n v="202207861"/>
    <n v="65818307"/>
    <m/>
    <m/>
    <m/>
    <m/>
    <m/>
    <s v="CALI"/>
    <s v="LOCAL"/>
    <s v="UNIDAD DE CONTROL INTEGRAL DE PERDIDAS DE AGUA"/>
    <n v="6.0736830506133033E-3"/>
    <n v="1"/>
    <n v="2"/>
    <n v="110"/>
  </r>
  <r>
    <n v="265"/>
    <s v="0308"/>
    <x v="2"/>
    <d v="2022-05-11T00:00:00"/>
    <x v="5"/>
    <s v="N/A"/>
    <s v="FR-300-GAA-0150-2022"/>
    <s v="N/A"/>
    <s v="Suministrar coagulante líquido para ser utilizado en el tratamiento de las aguas residuales en la PTAR C."/>
    <m/>
    <m/>
    <m/>
    <s v=""/>
    <s v="N/A"/>
    <m/>
    <s v="N/A"/>
    <s v="N/A"/>
    <s v="N/A"/>
    <x v="3"/>
    <x v="0"/>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m/>
    <s v="ago"/>
    <n v="90"/>
    <n v="90"/>
    <m/>
    <s v="FUNCIONAMIENTO"/>
    <m/>
    <m/>
    <m/>
    <m/>
    <m/>
    <m/>
    <m/>
    <m/>
    <m/>
    <m/>
    <m/>
    <m/>
    <m/>
    <m/>
    <m/>
    <n v="1"/>
    <m/>
    <m/>
  </r>
  <r>
    <n v="266"/>
    <s v="0309"/>
    <x v="2"/>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x v="8"/>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s v="Aug"/>
    <m/>
    <n v="102"/>
    <n v="101"/>
    <s v="N/A"/>
    <s v="FUNCIONAMIENTO"/>
    <s v="300-AO-2164-2022"/>
    <d v="2022-08-19T00:00:00"/>
    <n v="148519461"/>
    <s v="IMATIC INGENIERIA SAS"/>
    <n v="202207856"/>
    <n v="5466539"/>
    <m/>
    <m/>
    <m/>
    <m/>
    <m/>
    <s v="CALI"/>
    <s v="LOCAL"/>
    <s v="UNIDAD DE SOPORTE OPERATIVO"/>
    <n v="3.5500233787487172E-2"/>
    <n v="1"/>
    <n v="2"/>
    <n v="102"/>
  </r>
  <r>
    <n v="267"/>
    <s v="0310"/>
    <x v="1"/>
    <d v="2022-05-12T00:00:00"/>
    <x v="5"/>
    <s v="GE0324"/>
    <s v="FR-500-GE-0197-2022"/>
    <s v="N/A"/>
    <s v="Suministro de Medidores de Energía Electronicos para Medida Directa"/>
    <n v="667336173"/>
    <m/>
    <s v="900-IPU-0310-2022"/>
    <s v="IPU"/>
    <n v="202203902"/>
    <m/>
    <s v="N/A"/>
    <s v="N/A"/>
    <s v="Mayor cuantia"/>
    <x v="0"/>
    <x v="1"/>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m/>
    <s v="jul"/>
    <n v="67"/>
    <n v="66"/>
    <m/>
    <s v="FUNCIONAMIENTO"/>
    <m/>
    <m/>
    <m/>
    <m/>
    <m/>
    <m/>
    <m/>
    <m/>
    <m/>
    <m/>
    <m/>
    <m/>
    <m/>
    <m/>
    <m/>
    <n v="1"/>
    <m/>
    <m/>
  </r>
  <r>
    <n v="268"/>
    <s v="0311"/>
    <x v="1"/>
    <d v="2022-05-12T00:00:00"/>
    <x v="5"/>
    <s v="GE0243"/>
    <s v="FR-500-GE-0200-2022"/>
    <s v="N/A"/>
    <s v="Suministro de Equipo Cabrestante Portacarrete Portatil Motorizado"/>
    <n v="269000000"/>
    <m/>
    <s v="900-IPU-0311-2022"/>
    <s v="IPU"/>
    <n v="202203909"/>
    <m/>
    <s v="N/A"/>
    <s v="N/A"/>
    <s v="Menor cuantia"/>
    <x v="0"/>
    <x v="26"/>
    <d v="2022-05-13T00:00:00"/>
    <e v="#VALUE!"/>
    <e v="#VALUE!"/>
    <s v="NO"/>
    <s v="CERRADO PARA TRAMITAR COMO IP "/>
    <x v="0"/>
    <m/>
    <s v="24 DE MAYO EN SOLICITUD DE CONCEPTOS Y ESPRANDO INFO DEL AREA_x000a_2 de Junio en espera de la IM_x000a_8 de junio se cierra para realizarlo por IP "/>
    <d v="2022-06-08T00:00:00"/>
    <m/>
    <s v="jun"/>
    <n v="27"/>
    <n v="26"/>
    <s v="G"/>
    <s v="INVERSION"/>
    <m/>
    <m/>
    <m/>
    <m/>
    <m/>
    <m/>
    <m/>
    <m/>
    <m/>
    <m/>
    <m/>
    <m/>
    <m/>
    <m/>
    <m/>
    <n v="1"/>
    <m/>
    <m/>
  </r>
  <r>
    <n v="269"/>
    <s v="0312"/>
    <x v="7"/>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x v="8"/>
    <d v="2022-05-18T00:00:00"/>
    <e v="#VALUE!"/>
    <e v="#VALUE!"/>
    <s v="NO"/>
    <s v="CERRADO PARA TRAMITAR COMO IP "/>
    <x v="0"/>
    <m/>
    <s v="24 DE MAYO EN ELABORACION DE FPA E INVITACION SE MANEJARA COMO IP_x000a_8 de junio se cierra porque se va a tramitar por ip despues de la ley de garantias"/>
    <d v="2022-06-08T00:00:00"/>
    <m/>
    <s v="jun"/>
    <n v="26"/>
    <n v="21"/>
    <m/>
    <s v="FUNCIONAMIENTO"/>
    <m/>
    <m/>
    <m/>
    <m/>
    <m/>
    <m/>
    <m/>
    <m/>
    <m/>
    <m/>
    <m/>
    <m/>
    <m/>
    <m/>
    <m/>
    <n v="0"/>
    <m/>
    <m/>
  </r>
  <r>
    <n v="270"/>
    <s v="0313"/>
    <x v="2"/>
    <d v="2022-05-16T00:00:00"/>
    <x v="5"/>
    <s v="PENDIENTE"/>
    <s v="FR-300-GAA-0061-2022"/>
    <s v="N/A"/>
    <s v="Suministro de dos variadores de velocidad de 1250 HP A 4160 Voltios Planta de Puerto Mallarino"/>
    <n v="3058210890"/>
    <s v="4 MESES"/>
    <s v="900-IPU-0313-2022"/>
    <m/>
    <n v="202202189"/>
    <n v="3058210890"/>
    <s v="N/A"/>
    <s v="N/A"/>
    <s v="Mayor cuantia"/>
    <x v="0"/>
    <x v="1"/>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s v="Jul"/>
    <m/>
    <n v="64"/>
    <n v="64"/>
    <s v="N/A"/>
    <s v="INVERSION"/>
    <s v="300-AO-2052-2022"/>
    <d v="2022-07-25T00:00:00"/>
    <n v="3056537055"/>
    <s v="SOPORTE A LA INGENIERIA SAS"/>
    <n v="202207239"/>
    <n v="1673835"/>
    <m/>
    <m/>
    <m/>
    <m/>
    <m/>
    <s v="CALI"/>
    <s v="LOCAL"/>
    <s v="UNIDAD DE MANTENIMIENTO"/>
    <n v="5.4732490995740323E-4"/>
    <n v="1"/>
    <n v="2"/>
    <n v="64"/>
  </r>
  <r>
    <n v="271"/>
    <s v="0314"/>
    <x v="2"/>
    <d v="2022-05-17T00:00:00"/>
    <x v="5"/>
    <s v="GAA0378"/>
    <s v="FR-300-GAA-0151-2022"/>
    <s v="N/A"/>
    <s v="Mantenimiento equipos menores estaciones de bombeo de aguas lluvias y/o residuales"/>
    <n v="170109720"/>
    <m/>
    <s v="900-IPU-0316-2022"/>
    <s v="IPU"/>
    <n v="202201832"/>
    <m/>
    <s v="N/A"/>
    <s v="N/A"/>
    <s v="Menor cuantia"/>
    <x v="0"/>
    <x v="13"/>
    <d v="2022-05-18T00:00:00"/>
    <e v="#VALUE!"/>
    <e v="#VALUE!"/>
    <s v="NO"/>
    <s v="CERRADO PARA TRAMITAR COMO IP "/>
    <x v="0"/>
    <m/>
    <s v="25 DE MAYO ELABOORACION FPA"/>
    <d v="2022-05-25T00:00:00"/>
    <m/>
    <s v="may"/>
    <n v="8"/>
    <n v="7"/>
    <m/>
    <s v="FUNCIONAMIENTO"/>
    <m/>
    <m/>
    <m/>
    <m/>
    <m/>
    <m/>
    <m/>
    <m/>
    <m/>
    <m/>
    <m/>
    <m/>
    <m/>
    <m/>
    <m/>
    <n v="1"/>
    <m/>
    <m/>
  </r>
  <r>
    <n v="272"/>
    <s v="0315"/>
    <x v="1"/>
    <d v="2022-05-19T00:00:00"/>
    <x v="5"/>
    <s v="GE0324"/>
    <s v="FR-500-GE-0202-2022"/>
    <s v="N/A"/>
    <s v="Realizar empradización de la Plaza de Caycedo y Suministro de rollos de plástico"/>
    <n v="51600000"/>
    <s v="30 dias"/>
    <s v="900-IP-0315-2022"/>
    <m/>
    <n v="202203997"/>
    <n v="51600000"/>
    <s v="N/A"/>
    <s v="N/A"/>
    <s v="Menor cuantia"/>
    <x v="2"/>
    <x v="11"/>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s v="Jul"/>
    <m/>
    <n v="68"/>
    <n v="68"/>
    <s v="G"/>
    <s v="FUNCIONAMIENTO"/>
    <s v="500-AO-1989-2022"/>
    <d v="2022-07-08T00:00:00"/>
    <n v="50763020"/>
    <s v="PONTIFEX SAS"/>
    <n v="202206981"/>
    <n v="836980"/>
    <m/>
    <m/>
    <m/>
    <m/>
    <m/>
    <s v="CALI"/>
    <s v="LOCAL"/>
    <s v="SUBGERENCIA DISTRIBUCION"/>
    <n v="1.6220542635658915E-2"/>
    <n v="1"/>
    <n v="1"/>
    <n v="28"/>
  </r>
  <r>
    <n v="273"/>
    <s v="0316"/>
    <x v="0"/>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x v="1"/>
    <d v="2022-05-23T00:00:00"/>
    <e v="#VALUE!"/>
    <e v="#VALUE!"/>
    <s v="SI"/>
    <s v="Entregado al area"/>
    <x v="1"/>
    <s v="25 DE MAYO EN ELABORACION FPA_x000a_9 DE JUNIO SE CIERRA PARA REALIZAR POR IP"/>
    <m/>
    <d v="2022-09-12T00:00:00"/>
    <s v="Sep"/>
    <m/>
    <n v="116"/>
    <n v="112"/>
    <s v="B"/>
    <s v="INVERSION"/>
    <s v="400-AO-2256-2022"/>
    <d v="2022-09-06T00:00:00"/>
    <n v="3149999957"/>
    <s v="ITT SUPPLIES SAS"/>
    <n v="202208321"/>
    <n v="43"/>
    <m/>
    <m/>
    <m/>
    <m/>
    <m/>
    <s v="BOGOTA"/>
    <s v="NACIONAL"/>
    <s v="UNIDAD DE PROSPECTIVA Y DESARROLLO DE NEGOCIOS"/>
    <n v="1.3650793650793651E-8"/>
    <n v="1"/>
    <n v="2"/>
    <n v="116"/>
  </r>
  <r>
    <n v="274"/>
    <s v="0317"/>
    <x v="1"/>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x v="1"/>
    <d v="2022-05-20T00:00:00"/>
    <e v="#VALUE!"/>
    <e v="#VALUE!"/>
    <s v="NO"/>
    <s v="Cerrado"/>
    <x v="0"/>
    <m/>
    <s v="9 DE JUNIO EN SUBSANABLES_x000a_30 DE JUNIO CERRADO_x000a_18 DE JULIO SE CERRO PORQUE NINGUN OFERENTE CUMPLIO Y SE SACARA POR IP"/>
    <d v="2022-07-18T00:00:00"/>
    <m/>
    <s v="jul"/>
    <n v="60"/>
    <n v="59"/>
    <m/>
    <s v="FUNCIONAMIENTO"/>
    <m/>
    <m/>
    <m/>
    <m/>
    <m/>
    <m/>
    <n v="62492850"/>
    <m/>
    <m/>
    <m/>
    <m/>
    <m/>
    <m/>
    <m/>
    <m/>
    <n v="1"/>
    <m/>
    <m/>
  </r>
  <r>
    <n v="275"/>
    <s v="0318"/>
    <x v="2"/>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x v="2"/>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m/>
    <s v="ago"/>
    <n v="73"/>
    <n v="70"/>
    <m/>
    <s v="INVERSION"/>
    <m/>
    <m/>
    <m/>
    <m/>
    <m/>
    <m/>
    <m/>
    <m/>
    <m/>
    <m/>
    <m/>
    <m/>
    <m/>
    <m/>
    <m/>
    <n v="1"/>
    <m/>
    <m/>
  </r>
  <r>
    <n v="276"/>
    <s v="0319"/>
    <x v="2"/>
    <d v="2022-05-25T00:00:00"/>
    <x v="5"/>
    <s v="GAA0712"/>
    <s v="FR-300-GAA-0154-2022"/>
    <s v="300-CMA-1974-2020"/>
    <s v="Suministro de materiales de ferreteria asociados con la ejecución de acometidas de acueducto afines para EMCALI EICE ESP"/>
    <n v="19667819"/>
    <s v="90 DIAS"/>
    <s v="N/A"/>
    <m/>
    <n v="202202645"/>
    <n v="23404705"/>
    <s v="N/A"/>
    <s v="N/A"/>
    <s v="N/A"/>
    <x v="1"/>
    <x v="15"/>
    <d v="2022-05-25T00:00:00"/>
    <m/>
    <m/>
    <s v="SI"/>
    <s v="Entregado al area"/>
    <x v="1"/>
    <s v="9 de junio en invitacion a ofertar"/>
    <m/>
    <d v="2022-07-15T00:00:00"/>
    <s v="Jul"/>
    <m/>
    <n v="51"/>
    <n v="51"/>
    <s v="N/A"/>
    <s v="FUNCIONAMIENTO"/>
    <s v="300-CMA-1974-2020/300-AO-1972-2022"/>
    <d v="2022-06-28T00:00:00"/>
    <n v="19355438"/>
    <s v="EQUIPOS Y HERRAMIENTAS INDUSTRIALES SAS"/>
    <n v="202205861"/>
    <n v="312381"/>
    <m/>
    <m/>
    <m/>
    <m/>
    <m/>
    <s v="CALI"/>
    <s v="LOCAL"/>
    <s v="UNIDAD DE SOPORTE OPERATIVO"/>
    <n v="1.5882849033743904E-2"/>
    <n v="1"/>
    <n v="0"/>
    <n v="51"/>
  </r>
  <r>
    <n v="277"/>
    <s v="0320"/>
    <x v="2"/>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x v="13"/>
    <d v="2022-05-25T00:00:00"/>
    <e v="#VALUE!"/>
    <e v="#VALUE!"/>
    <s v="SI"/>
    <s v="Entregado al area"/>
    <x v="1"/>
    <s v="30 DE JUNIO EN ELABORACION DE FPA E INVITACION_x000a_AYUDARA A SACAR EL PROCESO IVAN ALDANA_x000a_1 DE AGOST EN ELABORACION DE INVITACION"/>
    <m/>
    <d v="2022-09-26T00:00:00"/>
    <s v="Sep"/>
    <m/>
    <n v="124"/>
    <n v="124"/>
    <s v="G"/>
    <s v="FUNCIONAMIENTO"/>
    <s v="300-AO-2288-2022"/>
    <d v="2022-09-14T00:00:00"/>
    <n v="112978592"/>
    <s v="INGENIERIA ARANGO ANGEL SAS"/>
    <n v="202208433"/>
    <n v="618807"/>
    <m/>
    <m/>
    <m/>
    <m/>
    <m/>
    <s v="CALI"/>
    <s v="LOCAL"/>
    <s v="UNIDAD DE MANTENIMIENTO"/>
    <n v="5.4473694419711139E-3"/>
    <n v="1"/>
    <n v="1"/>
    <n v="76"/>
  </r>
  <r>
    <n v="278"/>
    <s v="0321"/>
    <x v="2"/>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x v="15"/>
    <d v="2022-05-25T00:00:00"/>
    <n v="-44706"/>
    <n v="-44706"/>
    <s v="SI"/>
    <s v="Entregado al area"/>
    <x v="1"/>
    <s v="9 de junio en invitacion a ofertar"/>
    <m/>
    <d v="2022-07-01T00:00:00"/>
    <s v="Jul"/>
    <m/>
    <n v="37"/>
    <n v="37"/>
    <s v="N/A"/>
    <s v="FUNCIONAMIENTO"/>
    <s v="CMA-1974-2020/300-AO-1973-2022_x000a_CMA-1974-2020/300-AO-1973-2022"/>
    <d v="2022-06-28T00:00:00"/>
    <n v="37377608"/>
    <s v="ALMACEN RODAFER RF SAS_x000a_EQUIPOS Y HERRAMIENTAS INDUSTRIALES SAS"/>
    <n v="202205862"/>
    <n v="13177820"/>
    <m/>
    <m/>
    <m/>
    <m/>
    <m/>
    <s v="CALI"/>
    <s v="LOCAL"/>
    <s v="UNIDAD DE SOPORTE OPERATIVO"/>
    <n v="0.26066083349150954"/>
    <n v="1"/>
    <n v="0"/>
    <n v="37"/>
  </r>
  <r>
    <n v="279"/>
    <s v="0322"/>
    <x v="0"/>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x v="14"/>
    <d v="2022-05-25T00:00:00"/>
    <m/>
    <m/>
    <s v="SI"/>
    <s v="Entregado al area"/>
    <x v="1"/>
    <s v="9 de junio en aceptacion de la oferta._x000a_30 de junio en solicitud de polizas"/>
    <m/>
    <d v="2022-07-27T00:00:00"/>
    <s v="Jul"/>
    <m/>
    <n v="63"/>
    <n v="63"/>
    <s v="N/A"/>
    <s v="FUNCIONAMIENTO"/>
    <s v="500-CMA-1743-2021/500-AO-1958-2022"/>
    <d v="2022-06-15T00:00:00"/>
    <n v="1074216927"/>
    <s v="CENTELSA SA"/>
    <n v="202205804"/>
    <n v="77795"/>
    <m/>
    <m/>
    <m/>
    <m/>
    <m/>
    <s v="YUMBO"/>
    <s v="MUNICIPAL"/>
    <s v="UNIDAD DE MANTTO RED FISICA"/>
    <n v="7.2414951322827034E-5"/>
    <n v="1"/>
    <n v="0"/>
    <n v="63"/>
  </r>
  <r>
    <n v="280"/>
    <s v="0323"/>
    <x v="2"/>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x v="15"/>
    <d v="2022-05-25T00:00:00"/>
    <d v="2022-05-25T00:00:00"/>
    <m/>
    <s v="SI"/>
    <s v="Entregado al area"/>
    <x v="1"/>
    <s v="9 de junio en aceptacion de la oferta_x000a_30 de junio en aprobacion_x000a_11 DE JULIO ENTREGADO AL AREA"/>
    <m/>
    <d v="2022-07-11T00:00:00"/>
    <s v="Jul"/>
    <m/>
    <n v="47"/>
    <n v="47"/>
    <s v="N/A"/>
    <s v="FUNCIONAMIENTO"/>
    <s v="300-CMA-1892-2022/ 300-AO-1956-2022"/>
    <d v="2022-06-09T00:00:00"/>
    <n v="99620000"/>
    <s v="CALES DE COLOMBIA SA"/>
    <n v="202205755"/>
    <n v="5270000"/>
    <m/>
    <m/>
    <m/>
    <m/>
    <m/>
    <s v="MEDELLIN"/>
    <s v="NACIONAL"/>
    <s v="UNIDAD DE PRODUCCIÓN DE AGUA POTABLE"/>
    <n v="5.0243111831442464E-2"/>
    <n v="1"/>
    <n v="0"/>
    <n v="47"/>
  </r>
  <r>
    <n v="281"/>
    <s v="0324"/>
    <x v="1"/>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x v="14"/>
    <d v="2022-05-25T00:00:00"/>
    <m/>
    <m/>
    <s v="SI"/>
    <s v="Entregado al area"/>
    <x v="1"/>
    <s v="9 de junio en aceptacion de la oferta._x000a_30 de junio en solicitud de polizas_x000a_27 DE JULIO ENTREGADO AL AREA"/>
    <m/>
    <d v="2022-07-27T00:00:00"/>
    <s v="Jul"/>
    <m/>
    <n v="63"/>
    <n v="63"/>
    <s v="N/A"/>
    <s v="INVERSION"/>
    <s v="500-CMA-1743-2021/500-AO-1958-2022"/>
    <d v="2022-06-15T00:00:00"/>
    <n v="2675952405"/>
    <s v="CENTELSA SA"/>
    <n v="202205804"/>
    <n v="91603820"/>
    <m/>
    <m/>
    <m/>
    <m/>
    <m/>
    <s v="YUMBO"/>
    <s v="MUNICIPAL"/>
    <s v="SUBGERENCIA TECNICA GUENE"/>
    <n v="3.3099172176709796E-2"/>
    <n v="1"/>
    <n v="0"/>
    <n v="63"/>
  </r>
  <r>
    <n v="282"/>
    <s v="0325"/>
    <x v="2"/>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x v="1"/>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m/>
    <s v="nov"/>
    <n v="177"/>
    <n v="176"/>
    <m/>
    <s v="FUNCIONAMIENTO"/>
    <m/>
    <m/>
    <m/>
    <m/>
    <m/>
    <m/>
    <m/>
    <m/>
    <m/>
    <m/>
    <m/>
    <m/>
    <m/>
    <m/>
    <m/>
    <n v="1"/>
    <m/>
    <m/>
  </r>
  <r>
    <n v="283"/>
    <s v="0326"/>
    <x v="5"/>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x v="9"/>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s v="Sep"/>
    <m/>
    <n v="99"/>
    <n v="94"/>
    <s v="L"/>
    <s v="FUNCIONAMIENTO"/>
    <s v="800-CS-2216-2022"/>
    <d v="2022-08-26T00:00:00"/>
    <n v="5148800000"/>
    <s v="ACCESORIOS Y SISTEMAS SA EN REORGANIZACION"/>
    <n v="202208281"/>
    <n v="1278869"/>
    <m/>
    <m/>
    <m/>
    <m/>
    <m/>
    <s v="CALI"/>
    <s v="LOCAL"/>
    <s v="UNIDAD GESTIÓN ADMINISTRATIVA"/>
    <n v="2.483202748016013E-4"/>
    <n v="0"/>
    <n v="2"/>
    <n v="99"/>
  </r>
  <r>
    <n v="284"/>
    <s v="0327"/>
    <x v="1"/>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x v="26"/>
    <d v="2022-05-31T00:00:00"/>
    <e v="#VALUE!"/>
    <e v="#VALUE!"/>
    <s v="NO"/>
    <s v="Devuelto"/>
    <x v="2"/>
    <m/>
    <s v="8 Junio se devuelve al area para sacarlo como ip pero el area va hacer varias modificaciones."/>
    <d v="2022-06-08T00:00:00"/>
    <m/>
    <s v="jun"/>
    <n v="13"/>
    <n v="8"/>
    <m/>
    <s v="INVERSION"/>
    <m/>
    <m/>
    <m/>
    <m/>
    <m/>
    <m/>
    <m/>
    <m/>
    <m/>
    <m/>
    <m/>
    <m/>
    <m/>
    <m/>
    <m/>
    <n v="1"/>
    <m/>
    <m/>
  </r>
  <r>
    <n v="285"/>
    <s v="0328"/>
    <x v="5"/>
    <d v="2022-05-27T00:00:00"/>
    <x v="5"/>
    <s v="GHA0071"/>
    <s v="FR-800-GHA-0158-2022"/>
    <s v="300-CMA-1974-2020"/>
    <s v="Suministro de elementos de ferretería, para el suministro de materiales, herramientas y elementosa fines para EMCALI EICE ESP."/>
    <n v="8546201"/>
    <m/>
    <s v="N/A"/>
    <m/>
    <n v="202203880"/>
    <n v="102000566"/>
    <s v="N/A"/>
    <s v="N/A"/>
    <s v="N/A"/>
    <x v="1"/>
    <x v="15"/>
    <d v="2022-05-31T00:00:00"/>
    <n v="-44708"/>
    <n v="-44712"/>
    <s v="SI"/>
    <s v="Entregado al area"/>
    <x v="1"/>
    <s v="9 de junio en revision del expediente_x000a_18 de julio en rp"/>
    <m/>
    <d v="2022-07-19T00:00:00"/>
    <s v="Jul"/>
    <m/>
    <n v="53"/>
    <n v="49"/>
    <s v="N/A"/>
    <s v="FUNCIONAMIENTO"/>
    <s v="300-CMA-1974-2020/300-AO-2020-2022_x000a_300-CMA-1974-2020/300-AO-2021-2022"/>
    <d v="2022-07-15T00:00:00"/>
    <n v="8546201"/>
    <s v="EQUIPOS Y HERRAMIENTAS INDUSTRIALES SAS "/>
    <m/>
    <n v="0"/>
    <m/>
    <m/>
    <m/>
    <m/>
    <m/>
    <m/>
    <m/>
    <s v="UNIDAD DE GESTIÓN ADMINISTRATIVA"/>
    <n v="0"/>
    <n v="0"/>
    <n v="0"/>
    <n v="53"/>
  </r>
  <r>
    <n v="286"/>
    <s v="0329"/>
    <x v="3"/>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x v="26"/>
    <d v="2022-05-31T00:00:00"/>
    <e v="#VALUE!"/>
    <e v="#VALUE!"/>
    <s v="NO"/>
    <s v="Cerrado"/>
    <x v="0"/>
    <m/>
    <s v="15 de junio en solicitud de conceptos_x000a_28 de mayo publicado _x000a_CERRADO POR PROVEEDOR INDAMISIBLE PENDIENTE ACTA DE CIERRE Y SE VA POR IP"/>
    <d v="2022-07-19T00:00:00"/>
    <m/>
    <s v="jul"/>
    <n v="49"/>
    <n v="49"/>
    <s v="G"/>
    <s v="INVERSION"/>
    <m/>
    <m/>
    <m/>
    <m/>
    <m/>
    <m/>
    <m/>
    <m/>
    <m/>
    <m/>
    <m/>
    <m/>
    <m/>
    <m/>
    <m/>
    <n v="0"/>
    <m/>
    <m/>
  </r>
  <r>
    <n v="287"/>
    <s v="0330"/>
    <x v="5"/>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x v="14"/>
    <d v="2022-05-31T00:00:00"/>
    <e v="#VALUE!"/>
    <e v="#VALUE!"/>
    <s v="SI"/>
    <s v="Entregado al area"/>
    <x v="1"/>
    <s v="el area debe hacer la justificacion para hacer el otro si"/>
    <m/>
    <d v="2022-09-20T00:00:00"/>
    <s v="Sep"/>
    <m/>
    <n v="112"/>
    <n v="112"/>
    <s v="N/A"/>
    <s v="FUNCIONAMIENTO"/>
    <s v="800-CMA-1914-2021/800-AO-2251-2022"/>
    <d v="2022-09-09T00:00:00"/>
    <n v="50000000"/>
    <s v="Unión Temporal M&amp;C2021"/>
    <n v="20228346"/>
    <n v="0"/>
    <m/>
    <m/>
    <m/>
    <m/>
    <m/>
    <s v="CALI"/>
    <s v="LOCAL"/>
    <s v="UNIDAD GESTIÓN ADMINISTRATIVA"/>
    <n v="0"/>
    <n v="0"/>
    <n v="0"/>
    <n v="112"/>
  </r>
  <r>
    <n v="288"/>
    <s v="0331"/>
    <x v="2"/>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x v="8"/>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s v="Sep"/>
    <m/>
    <n v="102"/>
    <n v="100"/>
    <s v="B"/>
    <s v="INVERSION"/>
    <s v="300-AO-2187-2022"/>
    <d v="2022-08-23T00:00:00"/>
    <n v="933414559"/>
    <s v="DIEGO MAURICIO ESTRADA CHAVEZ"/>
    <m/>
    <n v="2585441"/>
    <m/>
    <m/>
    <m/>
    <m/>
    <m/>
    <m/>
    <m/>
    <s v="PRODUCCIÓN DE AGUA POTABLE"/>
    <n v="2.7622232905982905E-3"/>
    <n v="1"/>
    <n v="1"/>
    <n v="54"/>
  </r>
  <r>
    <n v="289"/>
    <s v="0332"/>
    <x v="1"/>
    <d v="2022-06-06T00:00:00"/>
    <x v="6"/>
    <s v="GE0333"/>
    <s v="FR-500-GE-0210-2022"/>
    <s v="N/A"/>
    <s v="Suministro de materiales y elementos de protección eléctrica para ser instalados en redes y subestaciones de energía"/>
    <n v="620390555"/>
    <m/>
    <s v="900-IP-0332-2022"/>
    <m/>
    <n v="202204349"/>
    <m/>
    <s v="N/A"/>
    <s v="N/A"/>
    <s v="Mayor cuantia"/>
    <x v="2"/>
    <x v="8"/>
    <d v="2022-06-06T00:00:00"/>
    <n v="100"/>
    <n v="100"/>
    <m/>
    <s v="Entregado al area"/>
    <x v="1"/>
    <s v="contrato de emergencia"/>
    <m/>
    <d v="2022-06-07T00:00:00"/>
    <s v="Aug"/>
    <m/>
    <n v="-44718"/>
    <n v="-44718"/>
    <s v="N/A"/>
    <s v="INVERSION"/>
    <s v="500-AO-1948-2022"/>
    <m/>
    <n v="620389554"/>
    <s v=" SUMINISTROS Y SERVICIOS TECNICOS S.A.S - S&amp;ST S.A.S"/>
    <m/>
    <n v="1001"/>
    <m/>
    <m/>
    <m/>
    <m/>
    <m/>
    <m/>
    <m/>
    <s v="UNIDAD DE MANTENIMIENTO"/>
    <n v="1.6134997413040887E-6"/>
    <n v="1"/>
    <n v="1"/>
    <n v="1"/>
  </r>
  <r>
    <n v="290"/>
    <s v="0333"/>
    <x v="1"/>
    <d v="2022-06-06T00:00:00"/>
    <x v="6"/>
    <s v="GE0332"/>
    <s v="FR-500-GE-0209-2022"/>
    <s v="N/A"/>
    <s v="Suministro de Cables, para redes de Media y Baja Tensión del SDL de EMCALI."/>
    <n v="541251633"/>
    <m/>
    <s v="900-IP-0333-2022"/>
    <m/>
    <n v="202204348"/>
    <m/>
    <s v="N/A"/>
    <s v="N/A"/>
    <s v="Mayor cuantia"/>
    <x v="2"/>
    <x v="8"/>
    <d v="2022-06-06T00:00:00"/>
    <n v="-44718"/>
    <n v="-44718"/>
    <s v="SI"/>
    <s v="Entregado al area"/>
    <x v="1"/>
    <m/>
    <m/>
    <d v="2022-06-10T00:00:00"/>
    <s v="Jul"/>
    <m/>
    <n v="4"/>
    <n v="4"/>
    <s v="N/A"/>
    <s v="INVERSION"/>
    <s v="500-AO-1955-2020"/>
    <m/>
    <n v="541251633"/>
    <s v="CENTELSA S.A."/>
    <m/>
    <n v="0"/>
    <m/>
    <m/>
    <m/>
    <m/>
    <m/>
    <m/>
    <m/>
    <s v="UNIDAD DE MANTENIMIENTO"/>
    <n v="0"/>
    <n v="1"/>
    <n v="1"/>
    <n v="4"/>
  </r>
  <r>
    <n v="291"/>
    <s v="0334"/>
    <x v="1"/>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x v="14"/>
    <d v="2022-06-06T00:00:00"/>
    <n v="-44718"/>
    <n v="-44718"/>
    <s v="SI"/>
    <s v="Entregado al area"/>
    <x v="1"/>
    <s v="30 de junio en solicitud de polizas"/>
    <m/>
    <d v="2022-07-27T00:00:00"/>
    <s v="Jul"/>
    <m/>
    <n v="51"/>
    <n v="51"/>
    <s v="N/A"/>
    <s v="FUNCIONAMIENTO"/>
    <s v="500-CMA-1743-2021/500-AO-1970-2022"/>
    <d v="2022-06-24T00:00:00"/>
    <n v="847397095"/>
    <s v="CENTELSA SA"/>
    <m/>
    <n v="11191264"/>
    <m/>
    <m/>
    <m/>
    <m/>
    <m/>
    <s v="YUMBO"/>
    <s v="MUNICIPAL"/>
    <s v="UNIDAD DE CONTROL DE ENERGÍA"/>
    <n v="1.3034493052100651E-2"/>
    <n v="1"/>
    <n v="0"/>
    <n v="51"/>
  </r>
  <r>
    <n v="292"/>
    <s v="0335"/>
    <x v="6"/>
    <d v="2022-06-08T00:00:00"/>
    <x v="6"/>
    <s v="GTI0184"/>
    <s v="FR-200-GTI-0096-2022"/>
    <s v="N/A"/>
    <s v="Contratar el servicio de soporte actualización y mantenimiento del Software SAP"/>
    <n v="1240383280"/>
    <m/>
    <m/>
    <s v=""/>
    <s v="202203525_x000a_202202915"/>
    <m/>
    <s v="N/A"/>
    <s v="N/A"/>
    <s v="Mayor cuantia"/>
    <x v="3"/>
    <x v="3"/>
    <d v="2022-06-09T00:00:00"/>
    <e v="#VALUE!"/>
    <e v="#VALUE!"/>
    <s v="NO"/>
    <s v="Devuelto"/>
    <x v="2"/>
    <m/>
    <m/>
    <d v="2022-06-21T00:00:00"/>
    <m/>
    <s v="jun"/>
    <n v="13"/>
    <n v="12"/>
    <m/>
    <s v="FUNCIONAMIENTO"/>
    <m/>
    <m/>
    <m/>
    <m/>
    <m/>
    <m/>
    <m/>
    <m/>
    <m/>
    <m/>
    <m/>
    <m/>
    <m/>
    <m/>
    <m/>
    <n v="0"/>
    <m/>
    <m/>
  </r>
  <r>
    <n v="293"/>
    <s v="0336"/>
    <x v="1"/>
    <d v="2022-06-21T00:00:00"/>
    <x v="6"/>
    <s v="GE0361"/>
    <s v="FR-500-GE-0200-2022"/>
    <s v="N/A"/>
    <s v="Suministro de Equipo Cabrestante Portacarrete Portatil Motorizado"/>
    <n v="269000000"/>
    <m/>
    <s v="900-IP-0336-2022"/>
    <s v="IP-"/>
    <n v="202203909"/>
    <m/>
    <s v="N/A"/>
    <s v="N/A"/>
    <s v="Menor cuantia"/>
    <x v="2"/>
    <x v="26"/>
    <d v="2022-06-21T00:00:00"/>
    <e v="#VALUE!"/>
    <e v="#VALUE!"/>
    <s v="NO"/>
    <s v="Cerrado"/>
    <x v="0"/>
    <m/>
    <s v="30 de junio en evaluacion_x000a_14 de julio en revision por la jefe sandra_x000a_29 DE JULIO CERRADO Y SE ABRIO NUEVAMENTE CON LA IP 474"/>
    <d v="2022-07-29T00:00:00"/>
    <m/>
    <s v="jul"/>
    <n v="38"/>
    <n v="38"/>
    <s v="G"/>
    <s v="INVERSION"/>
    <m/>
    <m/>
    <m/>
    <m/>
    <m/>
    <m/>
    <m/>
    <m/>
    <m/>
    <m/>
    <m/>
    <m/>
    <m/>
    <m/>
    <m/>
    <n v="1"/>
    <m/>
    <m/>
  </r>
  <r>
    <n v="294"/>
    <s v="0337"/>
    <x v="1"/>
    <d v="2022-06-09T00:00:00"/>
    <x v="6"/>
    <s v="GE0252"/>
    <s v="FR-500-GE-0207-2022"/>
    <s v="N/A"/>
    <s v="Suministro de ANTENAS YAGI"/>
    <n v="56044002"/>
    <s v="28 DE NOVIEMBRE"/>
    <s v="900-IP-337-2022"/>
    <m/>
    <n v="202204346"/>
    <n v="56044002"/>
    <s v="N/A"/>
    <s v="N/A"/>
    <s v="Menor cuantia"/>
    <x v="2"/>
    <x v="19"/>
    <d v="2022-06-09T00:00:00"/>
    <n v="-44721"/>
    <n v="-44721"/>
    <s v="SI"/>
    <s v="Entregado al area"/>
    <x v="1"/>
    <s v="30 de junio en revision de fpa e invitacion_x000a_18 de julio para firma de la aceptacion de la oferta"/>
    <m/>
    <d v="2022-07-30T00:00:00"/>
    <s v="Jul"/>
    <m/>
    <n v="51"/>
    <n v="51"/>
    <s v="N/A"/>
    <s v="INVERSION"/>
    <s v="500-AO-2036-2022"/>
    <d v="2022-07-19T00:00:00"/>
    <n v="56044002"/>
    <s v="POTENCIA Y TECNOLOGIA  INCORPORADA SA"/>
    <m/>
    <n v="0"/>
    <m/>
    <m/>
    <m/>
    <m/>
    <m/>
    <s v="CALI"/>
    <s v="LOCAL"/>
    <s v="UNIDAD DE CONTROL DE ENERGÍA"/>
    <n v="0"/>
    <n v="1"/>
    <n v="1"/>
    <n v="36"/>
  </r>
  <r>
    <n v="295"/>
    <s v="0338"/>
    <x v="2"/>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x v="6"/>
    <d v="2022-06-10T00:00:00"/>
    <n v="-44722"/>
    <n v="-44722"/>
    <s v="SI"/>
    <s v="Entregado al area"/>
    <x v="1"/>
    <s v="17 de junio en solciitud de conceptos_x000a_30 DE JUNIO EN REVISION DE LA INVITACION POR DIANA DE LA CRUZ_x000a_19 de julio en aprobacion de polizas"/>
    <m/>
    <d v="2022-07-26T00:00:00"/>
    <s v="Jul"/>
    <m/>
    <n v="46"/>
    <n v="46"/>
    <s v="G"/>
    <m/>
    <s v="300-AO-1992-2022"/>
    <d v="2022-07-08T00:00:00"/>
    <n v="109994080"/>
    <s v="SOLCO INDUSTRIAL SAS"/>
    <m/>
    <n v="0"/>
    <m/>
    <m/>
    <m/>
    <m/>
    <m/>
    <m/>
    <m/>
    <s v="UNIDAD DE BOMBEO"/>
    <n v="0"/>
    <n v="1"/>
    <n v="1"/>
    <n v="23"/>
  </r>
  <r>
    <n v="296"/>
    <s v="0339"/>
    <x v="3"/>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x v="26"/>
    <d v="2022-06-30T00:00:00"/>
    <e v="#VALUE!"/>
    <e v="#VALUE!"/>
    <s v="NO"/>
    <s v="Devuelto"/>
    <x v="2"/>
    <m/>
    <s v="SE DEVOLVIO AL AREA PORQUE NO ALCANZABA EL PRESUPUESTO POR EL ALZA DEL DÓLAR"/>
    <d v="2022-07-18T00:00:00"/>
    <m/>
    <s v="jul"/>
    <n v="38"/>
    <n v="18"/>
    <m/>
    <s v="FUNCIONAMIENTO"/>
    <m/>
    <m/>
    <m/>
    <m/>
    <m/>
    <m/>
    <m/>
    <m/>
    <m/>
    <m/>
    <m/>
    <m/>
    <m/>
    <m/>
    <m/>
    <n v="0"/>
    <m/>
    <m/>
  </r>
  <r>
    <n v="297"/>
    <s v="0340"/>
    <x v="0"/>
    <d v="2022-06-10T00:00:00"/>
    <x v="6"/>
    <s v="GT0172"/>
    <s v="FR-400-GT-0163-2022"/>
    <s v="N/A"/>
    <s v="Reparación de Motobombas"/>
    <n v="20650000"/>
    <s v="90 DIAS"/>
    <s v="900-IP-0340-2022"/>
    <m/>
    <n v="202203877"/>
    <n v="20650000"/>
    <s v="N/A"/>
    <s v="N/A"/>
    <s v="Menor cuantia"/>
    <x v="2"/>
    <x v="19"/>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s v="Aug"/>
    <m/>
    <n v="61"/>
    <n v="61"/>
    <s v="G"/>
    <s v="FUNCIONAMIENTO"/>
    <s v="400-AO-2022-2022"/>
    <d v="2022-07-15T00:00:00"/>
    <n v="20650000"/>
    <s v="METALMECANICA SOS SAS"/>
    <n v="202207214"/>
    <n v="0"/>
    <m/>
    <m/>
    <m/>
    <m/>
    <m/>
    <s v="CALI"/>
    <s v="LOCAL"/>
    <s v="SUBGERENCIA OPERATIVA"/>
    <n v="0"/>
    <n v="1"/>
    <n v="1"/>
    <n v="25"/>
  </r>
  <r>
    <n v="298"/>
    <s v="0341"/>
    <x v="0"/>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x v="19"/>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s v="Aug"/>
    <m/>
    <n v="56"/>
    <n v="56"/>
    <s v="G"/>
    <s v="INVERSION"/>
    <s v="400-AO-2046-2022"/>
    <d v="2022-07-25T00:00:00"/>
    <n v="17308550"/>
    <s v="YESID SELIS MENESES"/>
    <n v="202207317"/>
    <n v="34198"/>
    <m/>
    <m/>
    <m/>
    <m/>
    <m/>
    <s v="CALI"/>
    <s v="LOCAL"/>
    <s v="SUBGERENCIA OPERATIVA"/>
    <n v="1.9718904985530552E-3"/>
    <n v="1"/>
    <n v="1"/>
    <n v="31"/>
  </r>
  <r>
    <n v="299"/>
    <s v="0342"/>
    <x v="8"/>
    <d v="2022-06-10T00:00:00"/>
    <x v="6"/>
    <s v="GF0071"/>
    <s v="FR-700-GF-0062-2022"/>
    <s v="N/A"/>
    <s v="Adquisición de un (1) HORNO MICROONDAS de uso industrial (trabajo pesado) para la Gerencia Financiera."/>
    <n v="3570000"/>
    <m/>
    <s v="900-IPU-0342-2022"/>
    <s v="IPU"/>
    <n v="202204359"/>
    <m/>
    <s v="N/A"/>
    <s v="N/A"/>
    <s v="Menor cuantia"/>
    <x v="0"/>
    <x v="18"/>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m/>
    <s v="oct"/>
    <n v="118"/>
    <n v="115"/>
    <s v="G"/>
    <s v="INVERSION"/>
    <m/>
    <m/>
    <m/>
    <m/>
    <m/>
    <n v="3570000"/>
    <m/>
    <m/>
    <m/>
    <m/>
    <m/>
    <m/>
    <m/>
    <m/>
    <m/>
    <n v="0"/>
    <m/>
    <m/>
  </r>
  <r>
    <n v="300"/>
    <s v="0343"/>
    <x v="2"/>
    <d v="2022-06-10T00:00:00"/>
    <x v="6"/>
    <s v="GAA0213"/>
    <s v="FR-300-GAA-0157-2022"/>
    <s v="N/A"/>
    <s v="Reponer válvulas y Actuadores en diferentes sistemas de tratamiento de la PTAP Río Cali"/>
    <n v="1755493200"/>
    <s v="2 meses"/>
    <s v="900-IPU-0343-2022"/>
    <m/>
    <n v="202201760"/>
    <n v="1755493200"/>
    <s v="N/A"/>
    <s v="N/A"/>
    <s v="Mayor cuantia"/>
    <x v="0"/>
    <x v="1"/>
    <d v="2022-06-13T00:00:00"/>
    <n v="96"/>
    <n v="93"/>
    <s v="SI"/>
    <s v="Entregado al area"/>
    <x v="1"/>
    <s v="30 DE JUNIO PUBLICADO_x000a_19 DE JULIO SE RECIBEN OFERTAS_x000a_1 DE AGOSTO EN EVALUACION SOBRE 1. 5 DE AGOSTO EN PUBLICACION DEL INFORME DE EVALUACION"/>
    <m/>
    <d v="2022-08-23T00:00:00"/>
    <s v="Aug"/>
    <m/>
    <n v="74"/>
    <n v="71"/>
    <s v="N/A"/>
    <s v="INVERSION"/>
    <s v="300-AO-2160-2022"/>
    <d v="2022-08-12T00:00:00"/>
    <n v="1732109718"/>
    <s v="UNION TEMPORAL VALAC 2022"/>
    <n v="202207854"/>
    <n v="23383482"/>
    <m/>
    <m/>
    <m/>
    <m/>
    <m/>
    <s v="CALI"/>
    <s v="LOCAL"/>
    <s v="UNIDAD DE PRODUCCIÓN"/>
    <n v="1.3320178055944621E-2"/>
    <n v="1"/>
    <n v="2"/>
    <n v="74"/>
  </r>
  <r>
    <n v="301"/>
    <s v="0344"/>
    <x v="2"/>
    <d v="2022-06-13T00:00:00"/>
    <x v="6"/>
    <s v="GAA0781 "/>
    <s v="FR-300-GAA-0076-2022"/>
    <s v="N/A"/>
    <s v="Suministro de equipos y Elementos para la medición de variables para el proceso de tratamiento de la PTAR-C"/>
    <n v="207605670"/>
    <m/>
    <s v="900-IP-0344-2022"/>
    <s v="IP-"/>
    <n v="202202669"/>
    <m/>
    <s v="N/A"/>
    <s v="N/A"/>
    <s v="Menor cuantia"/>
    <x v="2"/>
    <x v="16"/>
    <d v="2022-06-13T00:00:00"/>
    <e v="#VALUE!"/>
    <e v="#VALUE!"/>
    <s v="NO"/>
    <s v="Cerrado"/>
    <x v="0"/>
    <m/>
    <s v="17 de junio en solicitud de conceptos_x000a_30 de junio esperando concepto SST del área usuaria_x000a_29 de julio cerrado porque el oferente no cumple"/>
    <d v="2022-07-29T00:00:00"/>
    <m/>
    <s v="jul"/>
    <n v="46"/>
    <n v="46"/>
    <m/>
    <s v="FUNCIONAMIENTO"/>
    <m/>
    <m/>
    <m/>
    <m/>
    <m/>
    <m/>
    <m/>
    <m/>
    <m/>
    <m/>
    <m/>
    <m/>
    <m/>
    <m/>
    <m/>
    <n v="1"/>
    <m/>
    <m/>
  </r>
  <r>
    <n v="302"/>
    <s v="0345"/>
    <x v="2"/>
    <d v="2022-06-13T00:00:00"/>
    <x v="6"/>
    <s v="GAA0715"/>
    <s v="FR-300-GAA-0162-2022"/>
    <s v="N/A"/>
    <s v="Mantenimiento de las Casetas de Protección"/>
    <n v="5580200"/>
    <s v="90 DIAS"/>
    <s v="900-IP-0890-2022"/>
    <m/>
    <n v="202200777"/>
    <m/>
    <s v="N/A"/>
    <s v="N/A"/>
    <s v="Menor cuantia"/>
    <x v="2"/>
    <x v="7"/>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s v="Aug"/>
    <m/>
    <n v="73"/>
    <n v="73"/>
    <s v="G"/>
    <s v="INVERSION"/>
    <s v="300-AO-2074-2022"/>
    <d v="2022-08-01T00:00:00"/>
    <n v="4046000"/>
    <s v="METALMECANICA SAS"/>
    <n v="202207700"/>
    <n v="1534200"/>
    <m/>
    <m/>
    <m/>
    <m/>
    <m/>
    <s v="CALI"/>
    <s v="LOCAL"/>
    <s v="UENAA U. DISTRIBUCIÓN"/>
    <n v="0.27493638220852301"/>
    <n v="1"/>
    <n v="1"/>
    <n v="47"/>
  </r>
  <r>
    <n v="303"/>
    <s v="0346"/>
    <x v="2"/>
    <d v="2022-06-14T00:00:00"/>
    <x v="6"/>
    <s v="GAA0669"/>
    <s v="FR-300-GAA-0136-2022"/>
    <s v="N/A"/>
    <s v="Suministro e Instalación equipos de Instrumentación y Automatización"/>
    <n v="97403342"/>
    <m/>
    <s v="900-IP-0346-2022"/>
    <s v="IP-"/>
    <n v="202203123"/>
    <m/>
    <s v="N/A"/>
    <s v="N/A"/>
    <s v="Menor cuantia"/>
    <x v="2"/>
    <x v="7"/>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m/>
    <s v="ago"/>
    <n v="51"/>
    <n v="51"/>
    <m/>
    <s v="INVERSION"/>
    <m/>
    <m/>
    <m/>
    <m/>
    <m/>
    <m/>
    <m/>
    <m/>
    <m/>
    <m/>
    <m/>
    <m/>
    <m/>
    <m/>
    <m/>
    <n v="1"/>
    <m/>
    <m/>
  </r>
  <r>
    <n v="304"/>
    <s v="0347"/>
    <x v="1"/>
    <d v="2022-06-14T00:00:00"/>
    <x v="6"/>
    <s v="GE0189"/>
    <s v="FR-500-GE-0193-2022"/>
    <s v="N/A"/>
    <s v="Calibración de equipos de Medición"/>
    <n v="21000000"/>
    <s v="60 DIAS"/>
    <s v="900-IP-0347-2022"/>
    <m/>
    <n v="202203515"/>
    <m/>
    <s v="N/A"/>
    <s v="N/A"/>
    <s v="Menor cuantia"/>
    <x v="2"/>
    <x v="7"/>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s v="Aug"/>
    <m/>
    <n v="77"/>
    <n v="77"/>
    <s v="G"/>
    <s v="FUNCIONAMIENTO"/>
    <s v="500-AO-2093-2022"/>
    <d v="2022-08-09T00:00:00"/>
    <n v="20075000"/>
    <s v="LABORATORIO ELECTROMECANICO QTEST SAS"/>
    <m/>
    <n v="925000"/>
    <m/>
    <m/>
    <m/>
    <m/>
    <m/>
    <s v="ENVIGADO"/>
    <s v="NACIONAL"/>
    <s v="UNIDAD DE MANTENIMIENTO"/>
    <n v="4.4047619047619051E-2"/>
    <n v="1"/>
    <n v="1"/>
    <n v="38"/>
  </r>
  <r>
    <n v="305"/>
    <s v="0348"/>
    <x v="2"/>
    <d v="2022-07-13T00:00:00"/>
    <x v="7"/>
    <s v="GAA0237_x000a_GAA0238"/>
    <s v="FR-300-GAA-0189-2022"/>
    <s v="N/A"/>
    <s v="Suministro de materiales, recipientes y reactivos para los Laboratorios de las PTAP´s EMCALI"/>
    <n v="26256453"/>
    <s v="70 DIAS"/>
    <s v="900-IP-0389-2022"/>
    <m/>
    <s v="202202691_x000a_202202692"/>
    <n v="26256453"/>
    <s v="N/A"/>
    <s v="N/A"/>
    <s v="N/A"/>
    <x v="2"/>
    <x v="0"/>
    <d v="2022-07-13T00:00:00"/>
    <e v="#VALUE!"/>
    <e v="#VALUE!"/>
    <m/>
    <s v="Entregado al area"/>
    <x v="1"/>
    <s v="18 d ejulio esperando concepto de seguros_x000a_2 DE AGOSTO EN ELABORACION DE FPA"/>
    <m/>
    <d v="2022-09-01T00:00:00"/>
    <s v="Sep"/>
    <m/>
    <n v="50"/>
    <n v="50"/>
    <s v="G"/>
    <s v="OPERACIÓN"/>
    <s v="300-AO-2221-2022"/>
    <d v="2022-08-30T00:00:00"/>
    <n v="26256243"/>
    <s v="PROFINAS SOCIEDAD POR ACCIONES SIMPLIFICADA"/>
    <n v="202208018"/>
    <n v="210"/>
    <m/>
    <m/>
    <m/>
    <m/>
    <m/>
    <s v="YUMBO"/>
    <s v="MUNICIPAL"/>
    <s v="UNIDAD DE PRODUCCIÓN DE AGUA POTABLE"/>
    <n v="7.9980338547632467E-6"/>
    <n v="1"/>
    <n v="1"/>
    <n v="30"/>
  </r>
  <r>
    <n v="306"/>
    <s v="0349"/>
    <x v="2"/>
    <d v="2022-06-21T00:00:00"/>
    <x v="6"/>
    <s v="GAA0639_x000a_GAA0663"/>
    <s v="FR-300-GAA-0102-2022"/>
    <s v="N/A"/>
    <s v="Suministro de equipos CHEMTRAC para plantas de tratamiento de Agua Potable"/>
    <n v="134184400"/>
    <s v="140 dias"/>
    <s v="900-IP-0349-2022"/>
    <m/>
    <n v="202202921"/>
    <n v="134184400"/>
    <s v="N/A"/>
    <s v="N/A"/>
    <s v="Menor cuantia"/>
    <x v="2"/>
    <x v="8"/>
    <d v="2022-06-21T00:00:00"/>
    <n v="-44733"/>
    <n v="-44733"/>
    <s v="SI"/>
    <s v="Entregado al area"/>
    <x v="1"/>
    <s v="14 de julio en aprobacuon de polizas_x000a_15 de julio entregado al area"/>
    <m/>
    <d v="2022-07-15T00:00:00"/>
    <s v="Jul"/>
    <m/>
    <n v="24"/>
    <n v="24"/>
    <s v="G"/>
    <s v="INVERSION"/>
    <s v="300-AO-1978-2022"/>
    <d v="2022-07-07T00:00:00"/>
    <n v="134184400"/>
    <s v="B&amp;C BIOSCIENCES SAS"/>
    <n v="202207014"/>
    <n v="0"/>
    <m/>
    <m/>
    <m/>
    <m/>
    <m/>
    <s v="BOGOTA"/>
    <s v="NACIONAL"/>
    <s v="UNIDAD DE MANTENIMIENTO"/>
    <n v="0"/>
    <n v="1"/>
    <n v="1"/>
    <n v="18"/>
  </r>
  <r>
    <n v="307"/>
    <s v="0350"/>
    <x v="7"/>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x v="8"/>
    <d v="2022-06-21T00:00:00"/>
    <e v="#VALUE!"/>
    <e v="#VALUE!"/>
    <s v="SI"/>
    <s v="Entregado al area"/>
    <x v="1"/>
    <s v="14  de julio pendiente revision de la fpa por la jefe sandra_x000a_14 de julio en revision juridica_x000a_1 agosto continua en juridica 4 DE AGOSTO EN INVITACION A OFERTAR"/>
    <m/>
    <d v="2022-09-15T00:00:00"/>
    <s v="Sep"/>
    <m/>
    <n v="86"/>
    <n v="86"/>
    <s v="A"/>
    <s v="FUNCIONAMIENTO"/>
    <s v="100-AO-2222-2022"/>
    <d v="2022-08-31T00:00:00"/>
    <n v="139144320"/>
    <s v="DELOITTE ASESORES Y CONSULTORES LTDA"/>
    <n v="202208286"/>
    <n v="26155680"/>
    <m/>
    <m/>
    <m/>
    <m/>
    <m/>
    <s v="BOGOTA"/>
    <s v="NACIONAL"/>
    <s v="DIRECCIÓN DE CONTROL INTERNO"/>
    <n v="0.15823157894736842"/>
    <n v="0"/>
    <n v="1"/>
    <n v="34"/>
  </r>
  <r>
    <n v="308"/>
    <s v="0351"/>
    <x v="2"/>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x v="7"/>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m/>
    <s v="jun"/>
    <n v="14"/>
    <n v="13"/>
    <m/>
    <s v="FUNCIONAMIENTO"/>
    <m/>
    <m/>
    <m/>
    <m/>
    <m/>
    <m/>
    <m/>
    <m/>
    <m/>
    <m/>
    <m/>
    <m/>
    <m/>
    <m/>
    <m/>
    <n v="1"/>
    <m/>
    <m/>
  </r>
  <r>
    <n v="309"/>
    <s v="0352"/>
    <x v="0"/>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x v="19"/>
    <d v="2022-06-15T00:00:00"/>
    <n v="-44727"/>
    <n v="-44727"/>
    <s v="SI"/>
    <s v="Entregado al area"/>
    <x v="1"/>
    <s v="17 de junio en solicitud de conceptos_x000a_30 de junio en revision de la fpa e invitacion_x000a_18 de julio para firma de la aceptacion de la oferta"/>
    <m/>
    <d v="2022-07-29T00:00:00"/>
    <s v="Jul"/>
    <m/>
    <n v="44"/>
    <n v="44"/>
    <s v="G"/>
    <s v="FUNCIONAMIENTO"/>
    <s v="400-AO-2037-2022"/>
    <d v="2022-07-21T00:00:00"/>
    <n v="37984800"/>
    <s v="EPRING SAS"/>
    <n v="202207215"/>
    <n v="1999200"/>
    <m/>
    <m/>
    <m/>
    <m/>
    <m/>
    <s v="CALI"/>
    <s v="LOCAL"/>
    <s v="SUBGERENCIA OPERATIVA"/>
    <n v="0.05"/>
    <n v="1"/>
    <n v="1"/>
    <n v="23"/>
  </r>
  <r>
    <n v="310"/>
    <s v="0353"/>
    <x v="2"/>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x v="7"/>
    <d v="2022-06-16T00:00:00"/>
    <e v="#VALUE!"/>
    <e v="#VALUE!"/>
    <s v="SI"/>
    <s v="Entregado al area"/>
    <x v="1"/>
    <s v="2 DE AGOSTO PENDIENTE DE LA FIRMA DE LAINVITACION A OFERTAR"/>
    <m/>
    <d v="2022-09-08T00:00:00"/>
    <s v="Sep"/>
    <m/>
    <n v="85"/>
    <n v="84"/>
    <s v="G"/>
    <s v="INVERSION"/>
    <s v="300-AO-2101-2022"/>
    <d v="2022-08-11T00:00:00"/>
    <n v="152049857"/>
    <s v="DATUM INGENIERIA SAS"/>
    <n v="202207800"/>
    <n v="143"/>
    <m/>
    <m/>
    <m/>
    <m/>
    <m/>
    <s v="BOGOTA"/>
    <s v="NACIONAL"/>
    <s v="UNIDAD DE INGENIERIA"/>
    <n v="9.4048010522854323E-7"/>
    <n v="1"/>
    <n v="1"/>
    <n v="29"/>
  </r>
  <r>
    <n v="311"/>
    <s v="0354"/>
    <x v="2"/>
    <d v="2022-06-17T00:00:00"/>
    <x v="6"/>
    <s v="GAA0243"/>
    <s v="FR-300-GAA-0163-2022"/>
    <s v="N/A"/>
    <s v="Suministro, instalación y puesta en marcha de cuatro (4) espectrofotómetro en las PATP´s de EMCALI"/>
    <n v="180000000"/>
    <s v="60 DIAS"/>
    <s v="900-IP-0354-2022"/>
    <m/>
    <n v="202202969"/>
    <n v="180000000"/>
    <s v="N/A"/>
    <s v="N/A"/>
    <s v="N/A"/>
    <x v="2"/>
    <x v="18"/>
    <d v="2022-06-17T00:00:00"/>
    <n v="89"/>
    <n v="89"/>
    <s v="SI"/>
    <s v="Entregado al area"/>
    <x v="1"/>
    <s v="2 DE AGOSTO EN APROBACION DE POLIZAS"/>
    <m/>
    <d v="2022-08-08T00:00:00"/>
    <s v="Aug"/>
    <m/>
    <n v="52"/>
    <n v="52"/>
    <s v="G"/>
    <s v="INVERSION"/>
    <s v="300-AO-2026-2022"/>
    <d v="2022-07-15T00:00:00"/>
    <n v="180000000"/>
    <s v="B&amp;C  BIOSCIENSES SAS"/>
    <n v="202207153"/>
    <n v="0"/>
    <m/>
    <m/>
    <m/>
    <m/>
    <m/>
    <s v="BOGOTA"/>
    <s v="NACIONAL"/>
    <s v="UNIDAD DE PRODUCCIÓN DE AGUA POTABLE"/>
    <n v="0"/>
    <n v="1"/>
    <n v="1"/>
    <n v="28"/>
  </r>
  <r>
    <n v="312"/>
    <s v="0355"/>
    <x v="2"/>
    <d v="2022-06-17T00:00:00"/>
    <x v="6"/>
    <s v="GAA0687"/>
    <s v="FR-300-GAA-0164-2022"/>
    <s v="N/A"/>
    <s v="Realizar el mantenimiento a los equipos Isotérmicos y de apoyo del Laboratorio Aguas Residuales"/>
    <n v="34998614"/>
    <s v="90 DIAS"/>
    <s v="900-IP-0355-2022"/>
    <m/>
    <n v="202202243"/>
    <m/>
    <s v="N/A"/>
    <s v="N/A"/>
    <s v="N/A"/>
    <x v="2"/>
    <x v="19"/>
    <d v="2022-06-21T00:00:00"/>
    <n v="-44729"/>
    <n v="-44733"/>
    <s v="SI"/>
    <s v="Entregado al area"/>
    <x v="1"/>
    <s v="18 de julio a la espera de la oferta_x000a_2 DE AGOSTO EN SOLICTUD DE POLIZAS Y RP. 5 DE AGOSTO A LA ESPERA DE LAS POLIZAS POR PARTE DEL PROVEEDOR.."/>
    <m/>
    <d v="2022-08-16T00:00:00"/>
    <s v="Aug"/>
    <m/>
    <n v="60"/>
    <n v="56"/>
    <s v="G"/>
    <s v="FUNCIONAMIENTO"/>
    <s v="300-AO-2047-2022"/>
    <d v="2022-07-25T00:00:00"/>
    <n v="34998614"/>
    <s v="HOB TECHNOLOGY SAS"/>
    <n v="202207267"/>
    <n v="0"/>
    <m/>
    <m/>
    <m/>
    <m/>
    <m/>
    <s v="CALIL"/>
    <s v="LOCAL"/>
    <s v="LABORATORIO DE AGUAS RESIDUALES"/>
    <n v="0"/>
    <n v="1"/>
    <n v="1"/>
    <n v="42"/>
  </r>
  <r>
    <n v="313"/>
    <s v="0356"/>
    <x v="2"/>
    <d v="2022-06-17T00:00:00"/>
    <x v="6"/>
    <s v="GAA0685"/>
    <s v="FR-300-GAA-0165-2022"/>
    <s v="N/A"/>
    <s v="Realizar el mantenimiento a los equipos marca ELGA del Laboratorio de Aguas Residuales"/>
    <n v="12389330"/>
    <s v="90 dias"/>
    <s v="900-IP-0356-2022"/>
    <m/>
    <n v="202202241"/>
    <n v="12389330"/>
    <s v="N/A"/>
    <s v="N/A"/>
    <s v="N/A"/>
    <x v="2"/>
    <x v="19"/>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s v="Aug"/>
    <m/>
    <n v="73"/>
    <n v="69"/>
    <s v="C"/>
    <s v="FUNCIONAMIENTO"/>
    <s v="300-AO-2119-2022"/>
    <d v="2022-08-11T00:00:00"/>
    <n v="12389330"/>
    <s v="QUIMICONTROL SAS"/>
    <n v="202207813"/>
    <n v="0"/>
    <m/>
    <m/>
    <m/>
    <m/>
    <m/>
    <s v="BOGOTA"/>
    <s v="NACIONAL"/>
    <s v="LABORATORIO DE AGUAS RESIDUALES"/>
    <n v="0"/>
    <n v="1"/>
    <n v="1"/>
    <n v="34"/>
  </r>
  <r>
    <n v="314"/>
    <s v="0357"/>
    <x v="2"/>
    <d v="2022-06-17T00:00:00"/>
    <x v="6"/>
    <s v="GAA0684"/>
    <s v="FR-300-GAA-0166-2022"/>
    <s v="N/A"/>
    <s v="Realizar el mantenimiento a los equipos marca Shimadzu del Laboratorio de Aguas Residuales"/>
    <n v="15777015"/>
    <s v="90 dias"/>
    <s v="900-IP-0357-2022"/>
    <m/>
    <n v="202202240"/>
    <m/>
    <s v="N/A"/>
    <s v="N/A"/>
    <s v="N/A"/>
    <x v="2"/>
    <x v="18"/>
    <d v="2022-06-17T00:00:00"/>
    <e v="#VALUE!"/>
    <e v="#VALUE!"/>
    <s v="SI"/>
    <s v="Entregado al area"/>
    <x v="1"/>
    <s v="2 de agosto en cotizaciones, se estuvo a la espera del cdp por parte del area. 5 DE AGOSTO EN REVISION DE FPA E INVITACION."/>
    <m/>
    <d v="2022-09-13T00:00:00"/>
    <s v="Sep"/>
    <m/>
    <n v="88"/>
    <n v="88"/>
    <s v="G"/>
    <s v="FUNCIONAMIENTO"/>
    <s v="300-AO-228-2022"/>
    <d v="2022-08-31T00:00:00"/>
    <n v="15777015"/>
    <s v="LAB INSTRUMENTS SAS"/>
    <n v="202208249"/>
    <n v="0"/>
    <m/>
    <m/>
    <m/>
    <m/>
    <m/>
    <s v="BOGOTA"/>
    <s v="NACIONAL"/>
    <s v="LABORATORIO DE AGUAS RESIDUALES"/>
    <n v="0"/>
    <n v="1"/>
    <n v="1"/>
    <n v="46"/>
  </r>
  <r>
    <n v="315"/>
    <s v="0358"/>
    <x v="2"/>
    <d v="2022-06-17T00:00:00"/>
    <x v="6"/>
    <s v="GAA0683"/>
    <s v="FR-300-GAA-0167-2022"/>
    <s v="N/A"/>
    <s v="Realizar el mantenimiento a los equipos marca Analitikjena del Laboratorio Aguas Residuales"/>
    <n v="5972207"/>
    <m/>
    <s v="900-IP-0358-2022"/>
    <m/>
    <n v="202202239"/>
    <m/>
    <m/>
    <m/>
    <s v="N/A"/>
    <x v="2"/>
    <x v="16"/>
    <m/>
    <n v="89"/>
    <n v="44818"/>
    <s v="SI"/>
    <s v="Entregado al area"/>
    <x v="1"/>
    <s v="2 de agosto en polizas"/>
    <m/>
    <d v="2022-08-16T00:00:00"/>
    <s v="Aug"/>
    <m/>
    <n v="60"/>
    <n v="44789"/>
    <s v="G"/>
    <s v="FUNCIONAMIENTO"/>
    <s v="300-AO-2050-2022"/>
    <d v="2022-07-26T00:00:00"/>
    <n v="5972207"/>
    <s v="ANALITICA Y REDES SAS"/>
    <n v="202207237"/>
    <n v="0"/>
    <m/>
    <m/>
    <m/>
    <m/>
    <m/>
    <s v="BOGOTA"/>
    <s v="NACIONAL"/>
    <s v="LABORATORIO DE AGUAS RESIDUALES"/>
    <n v="0"/>
    <n v="1"/>
    <n v="1"/>
    <n v="42"/>
  </r>
  <r>
    <n v="316"/>
    <s v="0359"/>
    <x v="2"/>
    <d v="2022-06-17T00:00:00"/>
    <x v="6"/>
    <s v="GAA0716"/>
    <s v="FR-300-GAA-0169-2022"/>
    <s v="N/A"/>
    <s v="Obras de Emergencia Bocatoma Río Cali"/>
    <n v="354975991"/>
    <s v="30 dias"/>
    <s v="900-IP-0359-2022"/>
    <m/>
    <n v="202204434"/>
    <n v="354975991"/>
    <s v="N/A"/>
    <s v="N/A"/>
    <s v="N/A"/>
    <x v="2"/>
    <x v="8"/>
    <d v="2022-06-21T00:00:00"/>
    <n v="-44729"/>
    <n v="-44733"/>
    <s v="SI"/>
    <s v="Entregado al area"/>
    <x v="1"/>
    <m/>
    <m/>
    <d v="2022-07-18T00:00:00"/>
    <s v="Jul"/>
    <m/>
    <m/>
    <m/>
    <s v="G"/>
    <s v="FUNCIONAMIENTO"/>
    <s v="300-AO-1968-2022"/>
    <d v="2022-06-24T00:00:00"/>
    <n v="354975991"/>
    <s v="PROQUING SAS"/>
    <m/>
    <n v="0"/>
    <m/>
    <m/>
    <m/>
    <m/>
    <m/>
    <s v="CALI"/>
    <s v="LOCAL"/>
    <s v="UNIDAD DE PRODUCCIÓN DE AGUA POTABLE"/>
    <n v="0"/>
    <n v="1"/>
    <n v="1"/>
    <n v="21"/>
  </r>
  <r>
    <n v="317"/>
    <s v="0360"/>
    <x v="2"/>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x v="8"/>
    <d v="2022-06-21T00:00:00"/>
    <n v="89"/>
    <n v="85"/>
    <s v="SI"/>
    <s v="Entregado al area"/>
    <x v="1"/>
    <m/>
    <m/>
    <d v="2022-07-05T00:00:00"/>
    <s v="Aug"/>
    <m/>
    <n v="-44729"/>
    <n v="-44733"/>
    <s v="G"/>
    <s v="FUNCIONAMIENTO"/>
    <s v="CONTRATO DE MERGENCIA"/>
    <m/>
    <n v="448908750"/>
    <s v="SP5 SA"/>
    <n v="202205849"/>
    <n v="979690"/>
    <m/>
    <m/>
    <m/>
    <m/>
    <m/>
    <s v="CALI"/>
    <s v="LOCAL"/>
    <s v="UNIDAD DE INGENIERÍA"/>
    <n v="2.1776287472512076E-3"/>
    <n v="1"/>
    <n v="1"/>
    <n v="12"/>
  </r>
  <r>
    <n v="318"/>
    <s v="0361"/>
    <x v="2"/>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x v="15"/>
    <d v="2022-06-21T00:00:00"/>
    <n v="-44733"/>
    <n v="-44733"/>
    <s v="SI"/>
    <s v="Entregado al area"/>
    <x v="1"/>
    <m/>
    <m/>
    <d v="2022-07-17T00:00:00"/>
    <s v="Jul"/>
    <m/>
    <n v="26"/>
    <n v="26"/>
    <s v="N/A"/>
    <s v="FUNCIONAMIENTO"/>
    <s v="300-CMA-1243-2020/300-AO-1979-2022"/>
    <d v="2022-07-07T00:00:00"/>
    <n v="1694603796"/>
    <s v="QUIMPAC DE COLOMBIA SA"/>
    <n v="202207013"/>
    <n v="1376659"/>
    <m/>
    <m/>
    <m/>
    <m/>
    <m/>
    <s v="YUMBO"/>
    <s v="MUNICIPAL"/>
    <s v="UNIDAD DE TRATAMIENTO"/>
    <n v="8.1171867042536172E-4"/>
    <n v="1"/>
    <n v="0"/>
    <n v="26"/>
  </r>
  <r>
    <n v="319"/>
    <s v="0362"/>
    <x v="0"/>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x v="27"/>
    <d v="2022-08-08T00:00:00"/>
    <e v="#VALUE!"/>
    <e v="#VALUE!"/>
    <s v="SI"/>
    <s v="Entregado al area"/>
    <x v="1"/>
    <m/>
    <m/>
    <d v="2022-09-06T00:00:00"/>
    <s v="Sep"/>
    <m/>
    <n v="77"/>
    <n v="29"/>
    <s v="G"/>
    <s v="FUNCIONAMIENTO"/>
    <s v="400-AO-2024-2022"/>
    <d v="2022-08-31T00:00:00"/>
    <n v="8992830"/>
    <s v="HIDROPURA SAS"/>
    <n v="202208244"/>
    <n v="0"/>
    <m/>
    <m/>
    <m/>
    <m/>
    <m/>
    <s v="CALI"/>
    <s v="LOCAL"/>
    <s v="SUBGERENCIA OPERATIVA"/>
    <n v="0"/>
    <n v="1"/>
    <n v="1"/>
    <n v="55"/>
  </r>
  <r>
    <n v="320"/>
    <s v="0363"/>
    <x v="5"/>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x v="8"/>
    <d v="2022-06-24T00:00:00"/>
    <n v="-44733"/>
    <n v="-44736"/>
    <s v="SI"/>
    <s v="Entregado al area"/>
    <x v="1"/>
    <s v="18 de julio en revision de fpa "/>
    <m/>
    <d v="2022-07-29T00:00:00"/>
    <s v="Jul"/>
    <m/>
    <n v="38"/>
    <n v="35"/>
    <s v="G"/>
    <s v="FUNCIONAMIENTO"/>
    <s v="800-AO-2053-2022"/>
    <d v="2022-07-26T00:00:00"/>
    <n v="399185752"/>
    <s v="HECTOR ANGULO SINISTERRA"/>
    <n v="202207181"/>
    <n v="41132526"/>
    <m/>
    <m/>
    <m/>
    <m/>
    <m/>
    <s v="CALI"/>
    <s v="LOCAL"/>
    <s v="UNIDAD GESTIÓN ADMINISTRATIVA"/>
    <n v="9.3415440728081695E-2"/>
    <n v="0"/>
    <n v="1"/>
    <n v="28"/>
  </r>
  <r>
    <n v="321"/>
    <s v="0364"/>
    <x v="2"/>
    <d v="2022-06-21T00:00:00"/>
    <x v="6"/>
    <s v="GAA0667"/>
    <s v="FR-300-GAA-0148-2022"/>
    <s v="N/A"/>
    <s v="Suministro valvulas bocatoma Río Cauca"/>
    <n v="137054145"/>
    <s v="90 DIAS"/>
    <s v="900-IP-0364-2022"/>
    <m/>
    <n v="202203121"/>
    <m/>
    <s v="N/A"/>
    <s v="N/A"/>
    <s v="N/A"/>
    <x v="2"/>
    <x v="13"/>
    <d v="2022-06-21T00:00:00"/>
    <n v="-44733"/>
    <n v="-44733"/>
    <s v="SI"/>
    <s v="Entregado al area"/>
    <x v="1"/>
    <s v="30 de junio en invitacion a ofertar_x000a_14 de julio en evaluacion"/>
    <m/>
    <d v="2022-07-27T00:00:00"/>
    <s v="Jul"/>
    <m/>
    <n v="36"/>
    <n v="36"/>
    <s v="G"/>
    <s v="INVERSION"/>
    <s v="300-AO-1988-2022"/>
    <d v="2022-07-08T00:00:00"/>
    <n v="136934075"/>
    <s v="B&amp;V INGENIERIA SAS"/>
    <n v="202206982"/>
    <n v="120070"/>
    <m/>
    <m/>
    <m/>
    <m/>
    <m/>
    <s v="Envigado Antioquia"/>
    <s v="NACIONAL"/>
    <s v="UNIDAD DE MANTENIMIENTO"/>
    <n v="8.7607711536196147E-4"/>
    <n v="1"/>
    <n v="1"/>
    <n v="26"/>
  </r>
  <r>
    <n v="322"/>
    <s v="0365"/>
    <x v="6"/>
    <d v="2022-06-22T00:00:00"/>
    <x v="6"/>
    <s v="GTI0186"/>
    <s v="FR-200-GTI-0103-2022"/>
    <s v="N/A"/>
    <s v="Prestar los servicios de Cloud Funtional Services, Features y Parameters para la solución SAP Ariba Sourcing Suite de EMCALI EICE ESP"/>
    <n v="90170000"/>
    <m/>
    <s v="900-IP-0365-2022"/>
    <m/>
    <n v="202203526"/>
    <m/>
    <s v="N/A"/>
    <s v="N/A"/>
    <s v="N/A"/>
    <x v="2"/>
    <x v="8"/>
    <d v="2022-06-22T00:00:00"/>
    <n v="139"/>
    <n v="139"/>
    <s v="SI"/>
    <s v="Entregado al area"/>
    <x v="1"/>
    <s v="14 de julio en cotizaciones. 8 DE AGOSTO SE RECIBE LA OFERTA_x000a_28 DE SEPTIEMBRE EN EVALUACION DE LA OFERTA"/>
    <m/>
    <d v="2022-10-13T00:00:00"/>
    <s v="Oct"/>
    <n v="113"/>
    <m/>
    <n v="113"/>
    <s v="C"/>
    <s v="FUNCIONAMIENTO"/>
    <s v="200-AO-2335-2022"/>
    <d v="2022-09-23T00:00:00"/>
    <n v="65106462"/>
    <s v="SAP COLOMBIA SAS"/>
    <n v="202208624"/>
    <n v="25063538"/>
    <s v="BOGOTA"/>
    <s v="NACIONAL"/>
    <m/>
    <m/>
    <m/>
    <m/>
    <m/>
    <m/>
    <n v="0.27795872241321945"/>
    <n v="0"/>
    <n v="1"/>
    <n v="45"/>
  </r>
  <r>
    <n v="323"/>
    <s v="0366"/>
    <x v="2"/>
    <d v="2022-06-22T00:00:00"/>
    <x v="6"/>
    <s v="GAA0666"/>
    <s v="FR-300-GAA-0175-2022"/>
    <s v="N/A"/>
    <s v="Suministro repuestos reles de protección GE Multilin modelo 869"/>
    <n v="64920450"/>
    <s v="90 DIAS"/>
    <s v="900-IP-0366-2022"/>
    <m/>
    <n v="202203120"/>
    <m/>
    <s v="N/A"/>
    <s v="N/A"/>
    <s v="N/A"/>
    <x v="2"/>
    <x v="16"/>
    <d v="2022-06-22T00:00:00"/>
    <n v="84"/>
    <n v="84"/>
    <s v="SI"/>
    <s v="Entregado al area"/>
    <x v="1"/>
    <s v="2 de agosto en polizas"/>
    <m/>
    <d v="2022-08-11T00:00:00"/>
    <s v="Aug"/>
    <m/>
    <n v="50"/>
    <n v="50"/>
    <s v="G"/>
    <s v="INVERSION"/>
    <s v="300-AO-2066-2022"/>
    <d v="2022-07-28T00:00:00"/>
    <n v="64920450"/>
    <s v="SOPORTE A LA INGENIERA SAS"/>
    <n v="202207314"/>
    <n v="0"/>
    <m/>
    <m/>
    <m/>
    <m/>
    <m/>
    <s v="CALI"/>
    <s v="LOCAL"/>
    <s v="UNIDAD MANTENIMIENTO"/>
    <n v="0"/>
    <n v="1"/>
    <n v="1"/>
    <n v="36"/>
  </r>
  <r>
    <n v="324"/>
    <s v="0367"/>
    <x v="2"/>
    <d v="2022-06-22T00:00:00"/>
    <x v="6"/>
    <s v="GAA0709"/>
    <s v="FR-300-GAA-0168-2022"/>
    <s v="N/A"/>
    <s v="Suministro e Instalación Celda Sistema de Arranque Bombeo Bellavista 2 - Planta Río Cali"/>
    <n v="130495795"/>
    <s v="30 DIAS"/>
    <s v="900-IP-0367-2022"/>
    <m/>
    <n v="202203910"/>
    <m/>
    <s v="N/A"/>
    <s v="N/A"/>
    <s v="N/A"/>
    <x v="2"/>
    <x v="26"/>
    <d v="2022-06-24T00:00:00"/>
    <n v="84"/>
    <n v="82"/>
    <s v="SI"/>
    <s v="Entregado al area"/>
    <x v="1"/>
    <s v="2 DE AGOSTO EN APROBACION DE POLIZAS"/>
    <m/>
    <d v="2022-08-18T00:00:00"/>
    <s v="Aug"/>
    <m/>
    <n v="57"/>
    <n v="55"/>
    <s v="G"/>
    <s v="INVERSION"/>
    <s v="300-AO-2054-2022"/>
    <d v="2022-07-26T00:00:00"/>
    <n v="127802430"/>
    <s v="CONFECCIONES ELECTRICAS SAS EN REORGANIZACION"/>
    <n v="202207318"/>
    <n v="2693365"/>
    <m/>
    <m/>
    <m/>
    <m/>
    <m/>
    <s v="CANDELARIA"/>
    <s v="MUNICIPAL"/>
    <s v="UNIDAD DE MANTENIMIENTO"/>
    <n v="2.0639477310360844E-2"/>
    <n v="1"/>
    <n v="1"/>
    <n v="41"/>
  </r>
  <r>
    <n v="325"/>
    <s v="0368"/>
    <x v="2"/>
    <d v="2022-06-22T00:00:00"/>
    <x v="6"/>
    <s v="GAA0414"/>
    <s v="FR-300-GAA-0170-2022"/>
    <s v="N/A"/>
    <s v="Realizar actividades para la gestión del Parque de medidores y el mejoramiento de la medición de consumos"/>
    <n v="499413972"/>
    <s v="3 Meses"/>
    <s v="900-IP-0368-2022"/>
    <m/>
    <n v="202203888"/>
    <n v="1113359867"/>
    <s v="N/A"/>
    <s v="N/A"/>
    <s v="N/A"/>
    <x v="2"/>
    <x v="1"/>
    <d v="2022-06-22T00:00:00"/>
    <n v="84"/>
    <n v="84"/>
    <s v="SI"/>
    <s v="Entregado al area"/>
    <x v="1"/>
    <s v="18 DE JULIO EN REVISION DE LA FPA POR PARTE DE LA JEFE SANDRA_x000a_1 DE AGOSTO ESPERANDO LA POLIZAS"/>
    <m/>
    <d v="2022-08-05T00:00:00"/>
    <s v="Aug"/>
    <m/>
    <n v="44"/>
    <n v="44"/>
    <s v="G"/>
    <s v="FUNCIONAMIENTO"/>
    <s v="300-AO-2044-2022"/>
    <d v="2022-07-22T00:00:00"/>
    <n v="493806334"/>
    <s v="DELTEC SA"/>
    <n v="202207235"/>
    <n v="5607638"/>
    <m/>
    <m/>
    <m/>
    <m/>
    <m/>
    <s v="CALI"/>
    <s v="LOCAL"/>
    <s v="UNIDAD CONTROL INTEGRAL DE PERDIDAS DE AGUA"/>
    <n v="1.1228436356201904E-2"/>
    <n v="1"/>
    <n v="1"/>
    <n v="32"/>
  </r>
  <r>
    <n v="326"/>
    <s v="0369"/>
    <x v="2"/>
    <d v="2022-06-22T00:00:00"/>
    <x v="6"/>
    <s v="GAA0680"/>
    <s v="FR-300-GAA-0172-2022"/>
    <s v="N/A"/>
    <s v="Mantenimiento de equipamiento marca Metrohm y Skatpure del Laboratorio de Agua Potable"/>
    <n v="71971578"/>
    <s v="90 DIAS"/>
    <s v="900-IP-0369-2022"/>
    <m/>
    <n v="202202235"/>
    <n v="72000000"/>
    <s v="N/A"/>
    <s v="N/A"/>
    <s v="N/A"/>
    <x v="2"/>
    <x v="11"/>
    <d v="2022-06-22T00:00:00"/>
    <n v="-44734"/>
    <n v="-44734"/>
    <s v="SI"/>
    <s v="Entregado al area"/>
    <x v="1"/>
    <s v="18 de julio en aceptacion de oferta"/>
    <m/>
    <d v="2022-07-26T00:00:00"/>
    <s v="Jul"/>
    <m/>
    <m/>
    <m/>
    <s v="G"/>
    <s v="FUNCIONAMIENTO"/>
    <s v="300-AO-2032-2022"/>
    <d v="2022-07-15T00:00:00"/>
    <n v="71971578"/>
    <s v="POLCO SAS"/>
    <n v="202207176"/>
    <n v="0"/>
    <m/>
    <m/>
    <m/>
    <m/>
    <m/>
    <s v="MEDELLIN"/>
    <s v="NACIONAL"/>
    <s v="LABORATORIO DE AGUA POTABLE"/>
    <n v="0"/>
    <n v="1"/>
    <n v="1"/>
    <n v="24"/>
  </r>
  <r>
    <n v="327"/>
    <s v="0370"/>
    <x v="2"/>
    <d v="2022-06-22T00:00:00"/>
    <x v="6"/>
    <s v="GAA0059_x000a_GAA0686"/>
    <s v="FR-300-GAA-0173-2022"/>
    <s v="N/A"/>
    <s v="Mnatenimiento de equipamiento de los Laboratorios de Ensayos de la UENAA"/>
    <n v="144234069"/>
    <s v="90 DIAS"/>
    <s v="900-IP-0370-2022"/>
    <m/>
    <s v="202202233_x000a_202202242"/>
    <n v="144346069"/>
    <s v="N/A"/>
    <s v="N/A"/>
    <s v="N/A"/>
    <x v="2"/>
    <x v="11"/>
    <d v="2022-06-22T00:00:00"/>
    <n v="84"/>
    <n v="84"/>
    <s v="G"/>
    <s v="Entregado al area"/>
    <x v="1"/>
    <s v="18 de julio en aceptacion de oferta"/>
    <m/>
    <d v="2022-08-01T00:00:00"/>
    <s v="Aug"/>
    <m/>
    <n v="40"/>
    <n v="40"/>
    <s v="G"/>
    <s v="FUNCIONAMIENTO"/>
    <s v="300-AO-2028-2022"/>
    <d v="2022-07-15T00:00:00"/>
    <n v="142708534"/>
    <s v="CONTROL E INSTRUMENTACION INDUSTRIAL DE COLOMBIA SAS"/>
    <n v="202207129"/>
    <n v="1525535"/>
    <m/>
    <m/>
    <m/>
    <m/>
    <m/>
    <s v="CALI"/>
    <s v="LOCAL"/>
    <s v="LABORATORIO DE AGUA POTABLE"/>
    <n v="1.0576800686389843E-2"/>
    <n v="1"/>
    <n v="1"/>
    <n v="28"/>
  </r>
  <r>
    <n v="328"/>
    <s v="0371"/>
    <x v="6"/>
    <d v="2022-06-24T00:00:00"/>
    <x v="6"/>
    <s v="GTI0027"/>
    <s v="FR-200-GTI-0101-2022"/>
    <s v="N/A"/>
    <s v="Renovación de las suscripciones en la nube de Microsoft Dynamics CRM"/>
    <n v="455000000"/>
    <s v="60 DIAS"/>
    <s v="900-IP-0371-2022"/>
    <m/>
    <n v="202203098"/>
    <m/>
    <s v="N/A"/>
    <s v="N/A"/>
    <s v="N/A"/>
    <x v="2"/>
    <x v="8"/>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s v="Aug"/>
    <m/>
    <n v="45"/>
    <n v="45"/>
    <s v="G"/>
    <s v="FUNCIONAMIENTO"/>
    <s v="200-AO-1976-222"/>
    <d v="2022-06-30T00:00:00"/>
    <n v="452335404"/>
    <s v="CONTROLES EMPRESARIALES SAS"/>
    <n v="202206957"/>
    <n v="2664596"/>
    <m/>
    <m/>
    <m/>
    <m/>
    <m/>
    <s v="CALI"/>
    <s v="LOCAL"/>
    <s v="GTI"/>
    <n v="5.8562549450549449E-3"/>
    <n v="0"/>
    <n v="1"/>
    <n v="31"/>
  </r>
  <r>
    <n v="329"/>
    <s v="0372"/>
    <x v="1"/>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x v="26"/>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m/>
    <s v="nov"/>
    <n v="158"/>
    <n v="152"/>
    <m/>
    <s v="INVERSION"/>
    <m/>
    <m/>
    <m/>
    <m/>
    <m/>
    <m/>
    <m/>
    <m/>
    <m/>
    <m/>
    <m/>
    <m/>
    <m/>
    <m/>
    <m/>
    <n v="1"/>
    <m/>
    <m/>
  </r>
  <r>
    <n v="330"/>
    <s v="0373"/>
    <x v="2"/>
    <d v="2022-06-24T00:00:00"/>
    <x v="6"/>
    <s v="GAA0651"/>
    <s v="FR-300-GAA-0087-2022"/>
    <s v="N/A"/>
    <s v="Suministro de equipos de Automatismo y Telemetría"/>
    <n v="244211285"/>
    <m/>
    <s v="900-IP-0373-2022"/>
    <s v="IP-"/>
    <n v="202201156"/>
    <m/>
    <s v="N/A"/>
    <s v="N/A"/>
    <s v="N/A"/>
    <x v="2"/>
    <x v="13"/>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m/>
    <s v="ago"/>
    <n v="41"/>
    <n v="16"/>
    <m/>
    <s v="INVERSION"/>
    <m/>
    <m/>
    <m/>
    <m/>
    <m/>
    <m/>
    <m/>
    <m/>
    <m/>
    <m/>
    <m/>
    <m/>
    <m/>
    <m/>
    <m/>
    <n v="1"/>
    <m/>
    <m/>
  </r>
  <r>
    <n v="331"/>
    <s v="0374"/>
    <x v="2"/>
    <d v="2022-06-24T00:00:00"/>
    <x v="6"/>
    <s v="GAA0378"/>
    <s v="FR-300-GAA-0151-2022"/>
    <s v="N/A"/>
    <s v="Mantenimiento equipos menores estaciones de bombeo de aguas lluvias y/o residuales"/>
    <n v="170109720"/>
    <m/>
    <s v="900-IP-0314-2022"/>
    <m/>
    <n v="202201832"/>
    <m/>
    <s v="N/A"/>
    <s v="N/A"/>
    <s v="N/A"/>
    <x v="2"/>
    <x v="13"/>
    <d v="2022-07-19T00:00:00"/>
    <e v="#VALUE!"/>
    <e v="#VALUE!"/>
    <s v="SI"/>
    <s v="Entregado al area"/>
    <x v="1"/>
    <s v="14 de julio en cotizaciones_x000a_19 de julio reasignado a lina echavarria_x000a_1 DE AGOSTO EN ELABORACION EN FPA E INVITACION"/>
    <m/>
    <d v="2022-09-29T00:00:00"/>
    <s v="Sep"/>
    <m/>
    <n v="97"/>
    <n v="72"/>
    <s v="G"/>
    <s v="FUNCIONAMIENTO"/>
    <s v="300-AO-2339-2022"/>
    <m/>
    <n v="168831739"/>
    <s v="Bego Ingeniería Cosultores SAS"/>
    <m/>
    <n v="1277981"/>
    <m/>
    <m/>
    <m/>
    <m/>
    <m/>
    <m/>
    <m/>
    <s v="UNIDAD DE BOMBEO"/>
    <n v="7.5126865178544765E-3"/>
    <n v="1"/>
    <n v="1"/>
    <n v="69"/>
  </r>
  <r>
    <n v="332"/>
    <s v="0375"/>
    <x v="6"/>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x v="8"/>
    <d v="2022-06-28T00:00:00"/>
    <n v="82"/>
    <n v="78"/>
    <s v="SI"/>
    <s v="Entregado al area"/>
    <x v="1"/>
    <s v="18 de julio en invitacion a ofertar_x000a_1 de agosto en revision de la aceptacion de oferta. 5 DE AGOSTO EN SOLICITUD DE POLIZAS AL PROVEEDOR."/>
    <m/>
    <d v="2022-08-17T00:00:00"/>
    <s v="Aug"/>
    <m/>
    <n v="54"/>
    <n v="50"/>
    <s v="G"/>
    <s v="FUNCIONAMIENTO"/>
    <s v="200-AO-2077-2022"/>
    <d v="2022-08-02T00:00:00"/>
    <n v="298000000"/>
    <s v="OPTIMAL THECNOLOGY SAS"/>
    <n v="202207629"/>
    <n v="2000000"/>
    <m/>
    <m/>
    <m/>
    <m/>
    <m/>
    <s v="CALI"/>
    <s v="LOCAL"/>
    <s v="GTI"/>
    <n v="6.6666666666666671E-3"/>
    <n v="0"/>
    <n v="1"/>
    <n v="33"/>
  </r>
  <r>
    <n v="333"/>
    <s v="0376"/>
    <x v="1"/>
    <d v="2022-06-28T00:00:00"/>
    <x v="6"/>
    <s v="GE0313"/>
    <s v="FR-500-GE-0115-2022"/>
    <s v="N/A"/>
    <s v="Calibración de Instrumentos y Equipos de Laboratorio"/>
    <n v="40721800"/>
    <s v="28 DE NOVIEMBRE 2022"/>
    <s v="900-IP-0376-2022"/>
    <m/>
    <n v="202201683"/>
    <n v="40721800"/>
    <s v="N/A"/>
    <s v="N/A"/>
    <s v="N/A"/>
    <x v="2"/>
    <x v="23"/>
    <d v="2022-06-28T00:00:00"/>
    <n v="78"/>
    <n v="78"/>
    <s v="SI"/>
    <s v="Entregado al area"/>
    <x v="1"/>
    <s v="1 de agosto esperando firma de fpa e invitacion. 5 DE AGOSTO PARA ENVIAR INVITACION A OFERTAR."/>
    <m/>
    <d v="2022-08-30T00:00:00"/>
    <s v="Aug"/>
    <m/>
    <n v="63"/>
    <n v="63"/>
    <s v="G"/>
    <s v="FUNCIONAMIENTO"/>
    <s v="500-AO-2208-2022"/>
    <d v="2022-08-24T00:00:00"/>
    <n v="40721800"/>
    <s v="QTEST SAS"/>
    <n v="202207958"/>
    <n v="0"/>
    <m/>
    <m/>
    <m/>
    <m/>
    <m/>
    <s v="ENVIGADO"/>
    <s v="NACIONAL"/>
    <s v="UNIDAD DE SERVICIOS COMPLEMENTARIOS"/>
    <n v="0"/>
    <n v="1"/>
    <n v="1"/>
    <n v="45"/>
  </r>
  <r>
    <n v="334"/>
    <s v="0377"/>
    <x v="2"/>
    <d v="2022-06-28T00:00:00"/>
    <x v="6"/>
    <s v="GAA0266_x000a_GAA0268"/>
    <s v="FR-300-GAA-0139-2022"/>
    <s v="N/A"/>
    <s v="Suministro e instalación de unidades de bombeo centrifugas PTAP y Bocatoma &quot;La Reforma&quot;"/>
    <n v="62299950"/>
    <m/>
    <s v="900-IP-0377-2022"/>
    <m/>
    <s v="202202917_x000a_202202918"/>
    <m/>
    <s v="N/A"/>
    <s v="N/A"/>
    <s v="N/A"/>
    <x v="2"/>
    <x v="7"/>
    <d v="2022-06-28T00:00:00"/>
    <n v="78"/>
    <n v="78"/>
    <s v="SI"/>
    <s v="Entregado al area"/>
    <x v="1"/>
    <s v="2 DE AGOSTO PENDIENTE DE LA POLIZA POR PARTE DEL PROVEEDOR 5 DE AGOSTO EN ESPERA DE LA APROBACION DE POLIZAS"/>
    <m/>
    <d v="2022-08-09T00:00:00"/>
    <s v="Aug"/>
    <m/>
    <n v="42"/>
    <n v="42"/>
    <s v="G"/>
    <s v="INVERSION"/>
    <s v="300-AO-2043-2022"/>
    <d v="2022-07-25T00:00:00"/>
    <n v="62044993"/>
    <s v="B&amp;V INGENIERIA"/>
    <m/>
    <n v="254957"/>
    <m/>
    <m/>
    <m/>
    <m/>
    <m/>
    <m/>
    <m/>
    <s v="UNIDAD DE MANTENIMIENTO"/>
    <n v="4.0924109890938913E-3"/>
    <n v="1"/>
    <n v="1"/>
    <n v="23"/>
  </r>
</pivotCacheRecords>
</file>

<file path=xl/pivotCache/pivotCacheRecords2.xml><?xml version="1.0" encoding="utf-8"?>
<pivotCacheRecords xmlns="http://schemas.openxmlformats.org/spreadsheetml/2006/main" xmlns:r="http://schemas.openxmlformats.org/officeDocument/2006/relationships" count="629">
  <r>
    <n v="1"/>
    <s v="0371"/>
    <s v="GUENT"/>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s v="AYDEE OVALLE"/>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x v="0"/>
    <m/>
    <n v="-44385"/>
    <n v="-44392"/>
    <s v="N/A"/>
    <s v="INVERSION"/>
    <m/>
    <m/>
    <m/>
    <m/>
    <m/>
    <m/>
    <m/>
    <m/>
    <s v="N/A"/>
    <s v="N/A"/>
    <m/>
    <m/>
    <m/>
    <m/>
    <n v="0"/>
    <n v="1"/>
    <n v="2"/>
    <n v="0"/>
  </r>
  <r>
    <n v="2"/>
    <s v="0513"/>
    <s v="GUENE"/>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s v="HAROLD MONDRAGON"/>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x v="1"/>
    <m/>
    <n v="329"/>
    <n v="328"/>
    <s v="N/A"/>
    <s v="INVERSION"/>
    <s v="500-CS-2039-2022"/>
    <d v="2022-07-21T00:00:00"/>
    <n v="215879358926"/>
    <s v="UNION TEMPORAL AMI"/>
    <m/>
    <n v="575661567"/>
    <m/>
    <m/>
    <m/>
    <m/>
    <m/>
    <s v="CALI"/>
    <s v="LOCAL"/>
    <m/>
    <n v="2.6594974128521841E-3"/>
    <n v="1"/>
    <n v="2"/>
    <n v="186"/>
  </r>
  <r>
    <n v="3"/>
    <s v="0553"/>
    <s v="GUENE"/>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s v="JUAN PABLO QUIMBAYO"/>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x v="2"/>
    <m/>
    <n v="97"/>
    <n v="94"/>
    <s v="N/A"/>
    <s v="FUNCIONAMIENTO"/>
    <s v="500-CO-0590-2022"/>
    <d v="2022-01-14T00:00:00"/>
    <n v="74954422758"/>
    <s v="PROYECTOS DE INGENIERIA SA -PROING SA"/>
    <m/>
    <n v="45577242"/>
    <m/>
    <m/>
    <s v="N/A"/>
    <s v="N/A"/>
    <m/>
    <s v="CALI"/>
    <s v="LOCAL"/>
    <m/>
    <n v="6.0769655999999995E-4"/>
    <n v="1"/>
    <n v="2"/>
    <n v="97"/>
  </r>
  <r>
    <n v="4"/>
    <s v="0560"/>
    <s v="GUENE"/>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s v="JUAN PABLO QUIMBAYO"/>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x v="3"/>
    <m/>
    <n v="163"/>
    <n v="162"/>
    <s v="N/A"/>
    <s v="INVERSION"/>
    <s v="500-AO-1683-2022"/>
    <d v="2022-04-07T00:00:00"/>
    <n v="23666032488"/>
    <s v="CONSORCIO SB MELENDEZ 115"/>
    <m/>
    <n v="333967512"/>
    <m/>
    <m/>
    <s v="N/A"/>
    <s v="N/A"/>
    <m/>
    <s v="CALI"/>
    <s v="LOCAL"/>
    <m/>
    <n v="1.3915313E-2"/>
    <n v="1"/>
    <n v="2"/>
    <n v="101"/>
  </r>
  <r>
    <n v="5"/>
    <s v="0567"/>
    <s v="GUENE"/>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s v="HAROLD MONDRAGON"/>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s v="N/A"/>
    <s v="FUNCIONAMIENTO"/>
    <s v="500-CO-1886-2022"/>
    <d v="2022-03-23T00:00:00"/>
    <n v="12106938145"/>
    <s v="DELTEC SA"/>
    <m/>
    <n v="0"/>
    <m/>
    <m/>
    <s v="N/A"/>
    <s v="N/A"/>
    <m/>
    <s v="CALI"/>
    <s v="LOCAL"/>
    <m/>
    <n v="0"/>
    <n v="1"/>
    <n v="2"/>
    <n v="90"/>
  </r>
  <r>
    <n v="6"/>
    <s v="0568"/>
    <s v="GUENE"/>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s v="HAROLD MONDRAGON"/>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x v="0"/>
    <m/>
    <n v="-44496"/>
    <n v="-44497"/>
    <s v="N/A"/>
    <s v="FUNCIONAMIENTO"/>
    <m/>
    <m/>
    <m/>
    <m/>
    <m/>
    <m/>
    <m/>
    <m/>
    <m/>
    <m/>
    <m/>
    <m/>
    <m/>
    <m/>
    <n v="0"/>
    <n v="1"/>
    <n v="2"/>
    <n v="0"/>
  </r>
  <r>
    <n v="7"/>
    <s v="0569"/>
    <s v="GUENE"/>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s v="HAROLD MONDRAGON"/>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s v="N/A"/>
    <s v="FUNCIONAMIENTO"/>
    <s v="500-CO-1887-2022"/>
    <d v="2022-03-23T00:00:00"/>
    <n v="4898840314"/>
    <s v="DELTEC SA"/>
    <m/>
    <n v="0"/>
    <m/>
    <m/>
    <s v="N/A"/>
    <s v="N/A"/>
    <m/>
    <s v="CALI"/>
    <s v="LOCAL"/>
    <m/>
    <n v="0"/>
    <n v="1"/>
    <n v="2"/>
    <n v="90"/>
  </r>
  <r>
    <n v="8"/>
    <s v="0590"/>
    <s v="GUENAA"/>
    <d v="2021-11-08T00:00:00"/>
    <x v="0"/>
    <s v="GAA1312"/>
    <s v="FR-300-GAA-0258-2021"/>
    <s v="N/A"/>
    <s v="Rehabilitar los componentes priorizados de las estructuras de Captación y Pretratamiento de la PTAP Río Cali."/>
    <n v="936000000"/>
    <s v="365 dias"/>
    <s v="900-IPU-0556-2021"/>
    <m/>
    <s v="N/A"/>
    <s v="N/A"/>
    <s v="108-202100108"/>
    <m/>
    <s v="Mayor cuantia"/>
    <x v="0"/>
    <s v="PABLO CAICEDO"/>
    <d v="2021-11-09T00:00:00"/>
    <e v="#VALUE!"/>
    <e v="#VALUE!"/>
    <s v="NO"/>
    <s v="Cerrado"/>
    <x v="0"/>
    <s v="30 de diciembre se publico_x000a_21 de enero se encuentra suspendido a la espera del tramite de la vigencia futura y presupuesto"/>
    <m/>
    <m/>
    <x v="0"/>
    <m/>
    <n v="-44508"/>
    <n v="-44509"/>
    <s v="N/A"/>
    <s v="INVERSION"/>
    <m/>
    <m/>
    <m/>
    <m/>
    <m/>
    <m/>
    <m/>
    <m/>
    <m/>
    <m/>
    <m/>
    <m/>
    <m/>
    <m/>
    <n v="0"/>
    <n v="1"/>
    <n v="2"/>
    <n v="0"/>
  </r>
  <r>
    <n v="9"/>
    <s v="0618"/>
    <s v="GUENAA"/>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s v="VIAGNERY LOPEZ"/>
    <d v="2021-11-22T00:00:00"/>
    <e v="#VALUE!"/>
    <e v="#VALUE!"/>
    <s v="NO"/>
    <s v="Devuelto"/>
    <x v="2"/>
    <s v="1 DE DICIEMBRE ESPERANDO INFORMACION DEL AREA"/>
    <m/>
    <d v="2022-01-14T00:00:00"/>
    <x v="4"/>
    <m/>
    <n v="57"/>
    <n v="53"/>
    <s v="N/A"/>
    <s v="INVERSION"/>
    <m/>
    <m/>
    <m/>
    <m/>
    <m/>
    <m/>
    <m/>
    <m/>
    <m/>
    <m/>
    <m/>
    <m/>
    <m/>
    <m/>
    <n v="0"/>
    <n v="1"/>
    <n v="2"/>
    <n v="0"/>
  </r>
  <r>
    <n v="10"/>
    <s v="0619"/>
    <s v="GUENAA"/>
    <d v="2021-11-18T00:00:00"/>
    <x v="0"/>
    <s v="N/A"/>
    <s v="FR-300-GAA-0265-2021"/>
    <s v="N/A"/>
    <s v="Optimización de la estación de bombeo de aguas lluvias paso del comercio - paso iv."/>
    <n v="72536381728"/>
    <s v="23 MESES"/>
    <s v="900-IPU-0584-2021"/>
    <m/>
    <s v="N/A"/>
    <n v="0"/>
    <n v="202100042"/>
    <n v="72536381728"/>
    <s v="Mayor cuantia"/>
    <x v="0"/>
    <s v="VIAGNERY LOPEZ"/>
    <d v="2021-11-22T00:00:00"/>
    <e v="#VALUE!"/>
    <e v="#VALUE!"/>
    <s v="NO"/>
    <s v="Devuelto"/>
    <x v="2"/>
    <s v="1 DE DICIEMBRE ESPERANDO INFORMACION DEL AREA_x000a_SE DEVUELVE PORQUE ES NECESARIO TENER VIGENCIA EXCEPCIONALES"/>
    <m/>
    <d v="2022-01-14T00:00:00"/>
    <x v="4"/>
    <m/>
    <n v="57"/>
    <n v="53"/>
    <s v="N/A"/>
    <s v="INVERSION"/>
    <m/>
    <m/>
    <m/>
    <m/>
    <m/>
    <m/>
    <m/>
    <m/>
    <m/>
    <m/>
    <m/>
    <m/>
    <m/>
    <m/>
    <n v="0"/>
    <n v="1"/>
    <n v="2"/>
    <n v="0"/>
  </r>
  <r>
    <n v="11"/>
    <s v="0636"/>
    <s v="GUENE"/>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s v="ESTEFANIA SANCHEZ"/>
    <d v="2021-11-29T00:00:00"/>
    <e v="#VALUE!"/>
    <e v="#VALUE!"/>
    <s v="NO "/>
    <s v="Devuelto"/>
    <x v="2"/>
    <s v="21 DE ENERO SE TOMA LA DECSION DE DEVOLVERLO PORQUE NO LLEGO EL CDP"/>
    <m/>
    <m/>
    <x v="0"/>
    <m/>
    <n v="-44530"/>
    <n v="-44529"/>
    <s v="N/A"/>
    <s v="INVERSION"/>
    <m/>
    <m/>
    <m/>
    <m/>
    <m/>
    <m/>
    <m/>
    <m/>
    <m/>
    <m/>
    <m/>
    <m/>
    <m/>
    <m/>
    <n v="0"/>
    <n v="1"/>
    <n v="0"/>
    <n v="0"/>
  </r>
  <r>
    <n v="12"/>
    <s v="0637"/>
    <s v="GUENE"/>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s v="ESTEFANIA SANCHEZ"/>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x v="0"/>
    <m/>
    <n v="-44530"/>
    <n v="-44529"/>
    <s v="N/A"/>
    <s v="INVERSION"/>
    <m/>
    <m/>
    <m/>
    <m/>
    <m/>
    <m/>
    <m/>
    <m/>
    <m/>
    <m/>
    <m/>
    <m/>
    <m/>
    <m/>
    <n v="0"/>
    <n v="1"/>
    <n v="0"/>
    <n v="0"/>
  </r>
  <r>
    <n v="13"/>
    <s v="0648"/>
    <s v="GUENAA"/>
    <d v="2021-12-13T00:00:00"/>
    <x v="0"/>
    <s v="GAA1321"/>
    <s v="FR-300-GAA-0271-2021"/>
    <s v="N/A"/>
    <s v="Obras civiles y mecánicas para construcción muro de concreto y optimización descarga estación de bombeo Guaduales."/>
    <n v="4543796519"/>
    <m/>
    <s v="N/A"/>
    <m/>
    <m/>
    <m/>
    <s v="108-202100058_x000a_EXCEPCIONAL"/>
    <m/>
    <s v="N/A"/>
    <x v="2"/>
    <s v="VIAGNERY LOPEZ"/>
    <d v="2022-01-04T00:00:00"/>
    <e v="#VALUE!"/>
    <e v="#VALUE!"/>
    <s v="NO"/>
    <s v="Devuelto"/>
    <x v="2"/>
    <m/>
    <m/>
    <d v="2022-01-14T00:00:00"/>
    <x v="4"/>
    <m/>
    <n v="32"/>
    <n v="10"/>
    <s v="C"/>
    <s v="INVERSION"/>
    <m/>
    <m/>
    <m/>
    <m/>
    <m/>
    <m/>
    <m/>
    <m/>
    <m/>
    <m/>
    <m/>
    <m/>
    <m/>
    <m/>
    <n v="0"/>
    <n v="1"/>
    <n v="1"/>
    <n v="0"/>
  </r>
  <r>
    <n v="14"/>
    <s v="0649"/>
    <s v="GUENAA"/>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s v="VIAGNERY LOPEZ"/>
    <m/>
    <e v="#VALUE!"/>
    <e v="#VALUE!"/>
    <s v=" NO"/>
    <s v="Devuelto"/>
    <x v="2"/>
    <m/>
    <m/>
    <d v="2022-01-14T00:00:00"/>
    <x v="4"/>
    <m/>
    <n v="32"/>
    <n v="44575"/>
    <s v="C"/>
    <s v="INVERSION"/>
    <m/>
    <m/>
    <m/>
    <m/>
    <m/>
    <m/>
    <m/>
    <m/>
    <s v="N/A"/>
    <s v="N/A"/>
    <m/>
    <m/>
    <m/>
    <m/>
    <n v="0"/>
    <n v="1"/>
    <n v="1"/>
    <n v="0"/>
  </r>
  <r>
    <n v="15"/>
    <s v="0653"/>
    <s v="GUENAA"/>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s v="AYDEE OVALLE"/>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x v="3"/>
    <m/>
    <n v="149"/>
    <n v="149"/>
    <s v="N/A"/>
    <s v="FUNCIONAMIENTO"/>
    <s v="300-CMA-1892-2022"/>
    <n v="44650"/>
    <s v="INDETERMINADO"/>
    <s v="CALES DE COLOMBIA SA"/>
    <m/>
    <n v="0"/>
    <m/>
    <m/>
    <s v="N/A"/>
    <s v="N/A"/>
    <m/>
    <s v="MEDELLIN"/>
    <s v="NACIONAL"/>
    <m/>
    <n v="0"/>
    <n v="1"/>
    <n v="2"/>
    <n v="85"/>
  </r>
  <r>
    <n v="1"/>
    <s v="0001"/>
    <s v="GUENT"/>
    <d v="2021-12-10T00:00:00"/>
    <x v="1"/>
    <s v="GT0148"/>
    <s v="FR-400-GT-0003-2022"/>
    <s v="N/A"/>
    <s v="Prestación de servicios de licenciamiento de software de las suites cpanel"/>
    <n v="16911804"/>
    <s v="30 dias"/>
    <s v="900-IP-0054-2022"/>
    <m/>
    <s v="PENDIENTE"/>
    <m/>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x v="2"/>
    <m/>
    <n v="49"/>
    <n v="25"/>
    <s v="G"/>
    <s v="FUNCIONAMIENTO"/>
    <s v="400-AO-1045-2022"/>
    <d v="2022-01-24T00:00:00"/>
    <n v="16911804"/>
    <s v="SOLUCIONES DE TELECOMUNICACIONES Y COMPUTO SAS"/>
    <m/>
    <n v="0"/>
    <m/>
    <m/>
    <s v="N/A"/>
    <s v="N/A"/>
    <m/>
    <s v="CALI"/>
    <s v="LOCAL"/>
    <m/>
    <n v="0"/>
    <n v="1"/>
    <n v="1"/>
    <n v="34"/>
  </r>
  <r>
    <n v="2"/>
    <s v="0002"/>
    <s v="GUENT"/>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s v="ADALBERTO VALENCIA"/>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x v="2"/>
    <m/>
    <n v="74"/>
    <n v="50"/>
    <s v="G"/>
    <s v="FUNCIONAMIENTO"/>
    <s v="400-AO-1313-2022"/>
    <d v="2022-01-26T00:00:00"/>
    <n v="48391479"/>
    <s v="INGENIERIA DE SISTEMAS TELEMATICOS SA"/>
    <m/>
    <n v="292740"/>
    <m/>
    <m/>
    <s v="N/A"/>
    <s v="N/A"/>
    <m/>
    <s v="CALI"/>
    <s v="LOCAL"/>
    <m/>
    <n v="6.013036791244407E-3"/>
    <n v="1"/>
    <n v="1"/>
    <n v="51"/>
  </r>
  <r>
    <n v="3"/>
    <s v="0003"/>
    <s v="GUENT"/>
    <d v="2021-12-10T00:00:00"/>
    <x v="1"/>
    <s v="GT0166"/>
    <s v="FR-400-GT-0005-2022"/>
    <s v="N/A"/>
    <s v="Soporte técnico, actualización y mantenimiento plataforma de Gestión de Redes de acceso WIFI"/>
    <n v="24347400"/>
    <s v="11 meses"/>
    <s v="900-IP-0056-2022"/>
    <m/>
    <n v="202201976"/>
    <n v="34396662"/>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x v="2"/>
    <m/>
    <n v="54"/>
    <n v="30"/>
    <s v="G"/>
    <s v="FUNCIONAMIENTO"/>
    <s v="400-AO-1044-2022"/>
    <d v="2022-01-24T00:00:00"/>
    <n v="19347400"/>
    <s v="SOLUCIONES DE TECNOLOGIA DE INGENIERIA SAS"/>
    <m/>
    <n v="5000000"/>
    <m/>
    <m/>
    <s v="N/A"/>
    <s v="N/A"/>
    <m/>
    <s v="CALI"/>
    <s v="LOCAL"/>
    <m/>
    <n v="0.20536073667003457"/>
    <n v="1"/>
    <n v="1"/>
    <n v="37"/>
  </r>
  <r>
    <n v="4"/>
    <s v="0004"/>
    <s v="GUENTIC"/>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s v="ANA MARIA GIL"/>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x v="5"/>
    <s v="ene"/>
    <n v="47"/>
    <n v="23"/>
    <m/>
    <s v="FUNCIONAMIENTO"/>
    <m/>
    <m/>
    <m/>
    <m/>
    <m/>
    <n v="121973133"/>
    <m/>
    <m/>
    <m/>
    <m/>
    <m/>
    <m/>
    <m/>
    <m/>
    <m/>
    <n v="0"/>
    <m/>
    <m/>
  </r>
  <r>
    <n v="5"/>
    <s v="0005"/>
    <s v="GUENT"/>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s v="ANA MARIA GIL"/>
    <d v="2022-01-03T00:00:00"/>
    <m/>
    <m/>
    <m/>
    <s v="Entregado al area"/>
    <x v="1"/>
    <s v="21 DE ENERO PARA FIRMA DE JEFE JORGE DE LA FPA E INVITACION_x000a_24 de enero evaluando y esperando subsanables_x000a_26 de enero en evaluacion_x000a_28 de enero solicitud de registro y polizas"/>
    <m/>
    <d v="2022-02-08T00:00:00"/>
    <x v="2"/>
    <m/>
    <n v="56"/>
    <n v="36"/>
    <s v="G"/>
    <s v="FUNCIONAMIENTO"/>
    <s v="400-AO-1366-2022"/>
    <d v="2022-01-27T00:00:00"/>
    <n v="193347661"/>
    <s v="MATRIX TELECOM LTDA"/>
    <m/>
    <n v="2419"/>
    <m/>
    <m/>
    <s v="2021-363"/>
    <d v="2021-01-07T00:00:00"/>
    <m/>
    <s v="BOGOTA"/>
    <s v="NACIONAL"/>
    <m/>
    <n v="1.2510985255346158E-5"/>
    <n v="1"/>
    <n v="1"/>
    <n v="39"/>
  </r>
  <r>
    <n v="6"/>
    <s v="0006"/>
    <s v="GUENT"/>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s v="ESTEFANIA SANCHEZ"/>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x v="2"/>
    <m/>
    <n v="26"/>
    <n v="26"/>
    <s v="G"/>
    <s v="FUNCIONAMIENTO"/>
    <s v="400-AO-1469-2022"/>
    <d v="2022-01-28T00:00:00"/>
    <n v="220952060"/>
    <s v="IMEVALLE SAS"/>
    <m/>
    <n v="3027055"/>
    <m/>
    <m/>
    <s v="N/A"/>
    <s v="N/A"/>
    <m/>
    <s v="YUMBO"/>
    <s v="MUNICIPAL"/>
    <m/>
    <n v="1.3514898476136938E-2"/>
    <n v="1"/>
    <n v="1"/>
    <n v="18"/>
  </r>
  <r>
    <n v="7"/>
    <s v="0007"/>
    <s v="GUENT"/>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s v="ESTEFANIA SANCHEZ"/>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x v="2"/>
    <m/>
    <n v="26"/>
    <n v="26"/>
    <s v="G"/>
    <s v="INVERSION"/>
    <s v="400-AO-1567-2022"/>
    <d v="2022-01-28T00:00:00"/>
    <n v="35070202"/>
    <s v="DISTRIELECTRICOS MAVI SAS"/>
    <m/>
    <n v="1929798"/>
    <m/>
    <m/>
    <s v="N/A"/>
    <s v="N/A"/>
    <m/>
    <s v="SANTANDER DE QUILICHAO"/>
    <s v="MUNICIPAL"/>
    <m/>
    <n v="5.2156702702702701E-2"/>
    <n v="1"/>
    <n v="1"/>
    <n v="18"/>
  </r>
  <r>
    <n v="8"/>
    <s v="0008"/>
    <s v="GUENTIC"/>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s v="ANA MARIA GIL"/>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x v="5"/>
    <s v="ene"/>
    <n v="6"/>
    <n v="6"/>
    <m/>
    <s v="FUNCIONAMIENTO"/>
    <m/>
    <m/>
    <m/>
    <m/>
    <m/>
    <n v="143761000"/>
    <m/>
    <m/>
    <m/>
    <m/>
    <m/>
    <m/>
    <m/>
    <m/>
    <m/>
    <n v="0"/>
    <m/>
    <m/>
  </r>
  <r>
    <n v="9"/>
    <s v="0009"/>
    <s v="GUENAA"/>
    <d v="2021-12-29T00:00:00"/>
    <x v="1"/>
    <s v="GAA0555"/>
    <s v="FR-300-GAA-0001-2022"/>
    <s v="N/A"/>
    <s v="Servicios de mantenimiento preventivo y correctivo de equipos menores."/>
    <n v="96889800"/>
    <s v="60 dias"/>
    <s v="900-IP-0101-2021"/>
    <m/>
    <s v="PENDIENTE"/>
    <m/>
    <s v="N/A"/>
    <s v="N/A"/>
    <m/>
    <x v="2"/>
    <s v="PAOLA BELTRAN"/>
    <d v="2022-01-03T00:00:00"/>
    <m/>
    <m/>
    <m/>
    <s v="Entregado al area"/>
    <x v="1"/>
    <s v="21 DE ENNERO EN REVISION DE INVITACION Y FP_x000a_24 de enero  se reciben la oferta el 25 de enero_x000a_26 DE ENERO EN APROBACION DE POLIZAS"/>
    <m/>
    <d v="2022-01-28T00:00:00"/>
    <x v="2"/>
    <m/>
    <n v="30"/>
    <n v="25"/>
    <s v="G"/>
    <s v="FUNCIONAMIENTO"/>
    <s v="300-AO-1043-2022"/>
    <d v="2022-01-25T00:00:00"/>
    <n v="96889800"/>
    <s v="TALLERES BRIG LTDA"/>
    <m/>
    <n v="0"/>
    <m/>
    <m/>
    <s v="N/A"/>
    <s v="N/A"/>
    <m/>
    <s v="CALI"/>
    <s v="LOCAL"/>
    <m/>
    <n v="0"/>
    <n v="1"/>
    <n v="1"/>
    <n v="21"/>
  </r>
  <r>
    <n v="10"/>
    <s v="0010"/>
    <s v="GUENAA"/>
    <d v="2021-12-30T00:00:00"/>
    <x v="1"/>
    <s v="GAA0556"/>
    <s v="FR-300-GAA-0002-2022"/>
    <s v="N/A"/>
    <s v="Prestar el servicio de transporte para apoyar la supervisión del contrato de obra_x000a_No 300-CO-1437-2018"/>
    <n v="148818450"/>
    <s v="8 meses"/>
    <s v="900-IP-0068-2022"/>
    <m/>
    <s v="PENDIENTE"/>
    <m/>
    <s v="N/A"/>
    <s v="N/A"/>
    <m/>
    <x v="2"/>
    <s v="PAOLA BELTRAN"/>
    <d v="2022-01-03T00:00:00"/>
    <m/>
    <m/>
    <m/>
    <s v="Entregado al area"/>
    <x v="1"/>
    <s v="21 DE ENERO EN COTIZACIONES_x000a_24 de enero  se reciben la oferta el 25 de enero_x000a_26 DE ENERO EN REVISION DE LA EVALUACION_x000a_28 DE ENERO EN RP Y POLIZAS"/>
    <m/>
    <d v="2022-02-28T00:00:00"/>
    <x v="2"/>
    <m/>
    <n v="60"/>
    <n v="56"/>
    <s v="G"/>
    <s v="INVERSION"/>
    <s v="300-AO-1325-2022"/>
    <d v="2022-01-27T00:00:00"/>
    <n v="124137000"/>
    <s v="FERNANCO CAIDEDO SUAREZ"/>
    <m/>
    <n v="24681450"/>
    <m/>
    <m/>
    <s v="N/A"/>
    <s v="N/A"/>
    <m/>
    <s v="CALI"/>
    <s v="LOCAL"/>
    <m/>
    <n v="0.16584939568984894"/>
    <n v="1"/>
    <n v="1"/>
    <n v="41"/>
  </r>
  <r>
    <n v="11"/>
    <s v="0011"/>
    <s v="GAE"/>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s v="ESTEFANIA SANCHEZ"/>
    <d v="2022-01-03T00:00:00"/>
    <m/>
    <m/>
    <m/>
    <s v="Entregado al area"/>
    <x v="1"/>
    <s v="21 DE ENERO ESPERANDO MODIFICACION DEL CDP PARA CONTINUAR_x000a_26 DE ENERO PARA LA FIRMA DE LA ACEPTACION DE LA OFERTA_x000a_28 de enero ensolicitud de polizar y rp"/>
    <m/>
    <d v="2022-02-15T00:00:00"/>
    <x v="2"/>
    <m/>
    <n v="47"/>
    <n v="43"/>
    <s v="G"/>
    <s v="FUNCIONAMIENTO"/>
    <s v="900-AO-1314-2022"/>
    <d v="2022-01-27T00:00:00"/>
    <n v="39612720"/>
    <s v="INFORMA COLOMBIA SA"/>
    <m/>
    <n v="1387280"/>
    <m/>
    <m/>
    <s v="N/A"/>
    <s v="N/A"/>
    <m/>
    <s v="BOGOTA "/>
    <s v="NACIONAL"/>
    <m/>
    <n v="3.3836097560975609E-2"/>
    <n v="0"/>
    <n v="1"/>
    <n v="32"/>
  </r>
  <r>
    <n v="12"/>
    <s v="0012"/>
    <s v="GAGHA"/>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s v="LEIDY FRANCO"/>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x v="2"/>
    <m/>
    <n v="34"/>
    <n v="30"/>
    <s v="G"/>
    <s v="FUNCIONAMIENTO"/>
    <s v="800-AO-1312-2022"/>
    <d v="2022-01-27T00:00:00"/>
    <n v="11200000"/>
    <s v="MONICA ALAJENADRA LOZANO"/>
    <m/>
    <n v="0"/>
    <m/>
    <m/>
    <s v="N/A"/>
    <s v="N/A"/>
    <m/>
    <s v="CALI"/>
    <s v="LOCAL"/>
    <m/>
    <n v="0"/>
    <n v="0"/>
    <n v="1"/>
    <n v="23"/>
  </r>
  <r>
    <n v="13"/>
    <s v="0013"/>
    <s v="GAGHA"/>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s v="LEIDY DIANA FRANCO"/>
    <d v="2022-01-03T00:00:00"/>
    <e v="#VALUE!"/>
    <e v="#VALUE!"/>
    <s v="NO"/>
    <s v="Cerrado"/>
    <x v="0"/>
    <m/>
    <s v="21  enero en revision de la invitacion _x000a_24 DE ENERO EN RECEPCION DE OFERTAS_x000a_26 DE ENERO EN REVISION DE LA EVALUACION_x000a_28 de enero se cerro por solicitud del area"/>
    <d v="2022-01-28T00:00:00"/>
    <x v="5"/>
    <s v="ene"/>
    <n v="29"/>
    <n v="25"/>
    <s v="G"/>
    <s v="FUNCIONAMIENTO"/>
    <m/>
    <m/>
    <m/>
    <m/>
    <m/>
    <m/>
    <n v="349318315"/>
    <m/>
    <m/>
    <m/>
    <m/>
    <m/>
    <m/>
    <m/>
    <m/>
    <n v="0"/>
    <m/>
    <m/>
  </r>
  <r>
    <n v="14"/>
    <s v="0014"/>
    <s v="GAGHA"/>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s v="LEIDY FRANCO"/>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x v="2"/>
    <m/>
    <n v="35"/>
    <n v="30"/>
    <s v="G"/>
    <s v="FUNCIONAMIENTO"/>
    <s v="800-AO-1345-2022"/>
    <d v="2022-01-27T00:00:00"/>
    <n v="247069000"/>
    <s v="SPECTRA INGENIERIA SAS"/>
    <m/>
    <n v="0"/>
    <m/>
    <m/>
    <s v="N/A"/>
    <s v="N/A"/>
    <m/>
    <s v="CALI"/>
    <s v="LOCAL"/>
    <m/>
    <n v="0"/>
    <n v="0"/>
    <n v="1"/>
    <n v="24"/>
  </r>
  <r>
    <n v="15"/>
    <s v="0015"/>
    <s v="GAGHA"/>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s v="LEIDY FRANCO"/>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x v="2"/>
    <m/>
    <n v="33"/>
    <n v="15"/>
    <s v="G"/>
    <s v="FUNCIONAMIENTO"/>
    <s v="800-AO-1344-2022"/>
    <d v="2022-01-27T00:00:00"/>
    <n v="46725000"/>
    <s v="ZAGAMOTOS DEL PACIFICO SAS"/>
    <m/>
    <n v="0"/>
    <m/>
    <m/>
    <s v="N/A"/>
    <s v="N/A"/>
    <m/>
    <s v="CALI"/>
    <s v="LOCAL"/>
    <m/>
    <n v="0"/>
    <n v="0"/>
    <n v="1"/>
    <n v="22"/>
  </r>
  <r>
    <n v="16"/>
    <s v="0016"/>
    <s v="GTI"/>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s v="CRISTHIAN BURBANO"/>
    <d v="2022-01-04T00:00:00"/>
    <e v="#VALUE!"/>
    <e v="#VALUE!"/>
    <s v="NO"/>
    <s v="Devuelto"/>
    <x v="2"/>
    <m/>
    <s v="SE DEVUELVEN PORQUE NO SE RECIBIO CDP POR PARTE DEL AREA"/>
    <d v="2022-01-28T00:00:00"/>
    <x v="5"/>
    <s v="ene"/>
    <n v="25"/>
    <n v="24"/>
    <s v="G"/>
    <s v="FUNCIONAMIENTO"/>
    <m/>
    <m/>
    <m/>
    <m/>
    <m/>
    <n v="320000000"/>
    <m/>
    <m/>
    <m/>
    <m/>
    <m/>
    <m/>
    <m/>
    <m/>
    <m/>
    <n v="0"/>
    <m/>
    <m/>
  </r>
  <r>
    <n v="17"/>
    <s v="0017"/>
    <s v="GTI"/>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s v="CRISTHIAN BURBANO"/>
    <d v="2022-01-04T00:00:00"/>
    <e v="#VALUE!"/>
    <e v="#VALUE!"/>
    <s v="NO"/>
    <s v="Devuelto"/>
    <x v="2"/>
    <m/>
    <s v="SE DEVUELVEN PORQUE NO SE RECIBIO CDP POR PARTE DEL AREA"/>
    <d v="2022-01-28T00:00:00"/>
    <x v="5"/>
    <s v="ene"/>
    <n v="25"/>
    <n v="24"/>
    <s v="G"/>
    <s v="FUNCIONAMIENTO"/>
    <m/>
    <m/>
    <m/>
    <m/>
    <m/>
    <n v="287471000"/>
    <m/>
    <m/>
    <m/>
    <m/>
    <m/>
    <m/>
    <m/>
    <m/>
    <m/>
    <n v="0"/>
    <m/>
    <m/>
  </r>
  <r>
    <n v="18"/>
    <s v="0018"/>
    <s v="GTI"/>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s v="PABLO CAICEDO"/>
    <d v="2022-01-06T00:00:00"/>
    <e v="#VALUE!"/>
    <e v="#VALUE!"/>
    <s v="NO"/>
    <s v="Devuelto"/>
    <x v="2"/>
    <m/>
    <s v="DEVUELTO PORQUE NO TENIAN CDP"/>
    <d v="2022-01-17T00:00:00"/>
    <x v="5"/>
    <s v="ene"/>
    <n v="14"/>
    <n v="11"/>
    <s v="G"/>
    <s v="FUNCIONAMIENTO"/>
    <m/>
    <m/>
    <m/>
    <m/>
    <m/>
    <n v="350000000"/>
    <m/>
    <m/>
    <m/>
    <m/>
    <m/>
    <m/>
    <m/>
    <m/>
    <m/>
    <n v="0"/>
    <m/>
    <m/>
  </r>
  <r>
    <n v="19"/>
    <s v="0019"/>
    <s v="GTI"/>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s v="CRISTHIAN BURBANO"/>
    <d v="2022-01-06T00:00:00"/>
    <e v="#VALUE!"/>
    <e v="#VALUE!"/>
    <s v="NO"/>
    <s v="Devuelto"/>
    <x v="2"/>
    <m/>
    <s v="SE DVUELVE PORQUE NO TENIA CDP"/>
    <d v="2022-01-17T00:00:00"/>
    <x v="5"/>
    <s v="ene"/>
    <n v="14"/>
    <n v="11"/>
    <s v="G"/>
    <s v="FUNCIONAMIENTO"/>
    <m/>
    <m/>
    <m/>
    <m/>
    <m/>
    <n v="349698036"/>
    <m/>
    <m/>
    <m/>
    <m/>
    <m/>
    <m/>
    <m/>
    <m/>
    <m/>
    <n v="0"/>
    <m/>
    <m/>
  </r>
  <r>
    <n v="20"/>
    <s v="0020"/>
    <s v="GTI"/>
    <d v="2022-01-03T00:00:00"/>
    <x v="1"/>
    <s v="GTI0002"/>
    <s v="FR-200-GTI-0008-2022"/>
    <s v="N/A"/>
    <s v="Adquirir renovación plataforma Proxi y Filtrado de Contenido."/>
    <n v="214140187"/>
    <m/>
    <m/>
    <s v=""/>
    <s v="PENDIENTE"/>
    <m/>
    <s v="N/A"/>
    <s v="N/A"/>
    <s v="N/A"/>
    <x v="3"/>
    <s v="PABLO CAICEDO"/>
    <d v="2021-01-06T00:00:00"/>
    <e v="#VALUE!"/>
    <e v="#VALUE!"/>
    <s v="NO"/>
    <s v="Devuelto"/>
    <x v="2"/>
    <m/>
    <s v="Se devuelve porque no tenian CDP"/>
    <d v="2022-01-17T00:00:00"/>
    <x v="5"/>
    <s v="ene"/>
    <n v="14"/>
    <n v="376"/>
    <s v="G"/>
    <s v="FUNCIONAMIENTO"/>
    <m/>
    <m/>
    <m/>
    <m/>
    <m/>
    <n v="214140187"/>
    <m/>
    <m/>
    <m/>
    <m/>
    <m/>
    <m/>
    <m/>
    <m/>
    <m/>
    <n v="0"/>
    <m/>
    <m/>
  </r>
  <r>
    <n v="21"/>
    <s v="0021"/>
    <s v="GTI"/>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s v="PABLO CAICEDO"/>
    <d v="2022-01-06T00:00:00"/>
    <e v="#VALUE!"/>
    <e v="#VALUE!"/>
    <s v="NO"/>
    <s v="Devuelto"/>
    <x v="2"/>
    <m/>
    <s v="SE DEVUELVE PORQUE NO TENIA CDP"/>
    <d v="2022-01-17T00:00:00"/>
    <x v="5"/>
    <s v="ene"/>
    <n v="14"/>
    <n v="11"/>
    <s v="G"/>
    <s v="FUNCIONAMIENTO"/>
    <m/>
    <m/>
    <m/>
    <m/>
    <m/>
    <n v="443076766"/>
    <m/>
    <m/>
    <m/>
    <m/>
    <m/>
    <m/>
    <m/>
    <m/>
    <m/>
    <n v="0"/>
    <m/>
    <m/>
  </r>
  <r>
    <n v="22"/>
    <s v="0022"/>
    <s v="GTI"/>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s v="PABLO CAICEDO"/>
    <d v="2022-01-06T00:00:00"/>
    <e v="#VALUE!"/>
    <e v="#VALUE!"/>
    <s v="NO"/>
    <s v="Devuelto"/>
    <x v="2"/>
    <m/>
    <s v="SE DEVUELVE PROQUE LO DEBE CONTRATAR LA MISMA AREA"/>
    <d v="2022-01-04T00:00:00"/>
    <x v="5"/>
    <s v="ene"/>
    <n v="1"/>
    <n v="-2"/>
    <s v="G"/>
    <s v="FUNCIONAMIENTO"/>
    <m/>
    <m/>
    <m/>
    <m/>
    <m/>
    <n v="114000000"/>
    <m/>
    <m/>
    <m/>
    <m/>
    <m/>
    <m/>
    <m/>
    <m/>
    <m/>
    <n v="0"/>
    <m/>
    <m/>
  </r>
  <r>
    <n v="23"/>
    <s v="0023"/>
    <s v="GAGHA"/>
    <d v="2022-01-03T00:00:00"/>
    <x v="1"/>
    <s v="GHA0044"/>
    <s v="FR-800-GAGHA-0081-2022"/>
    <s v="N/A"/>
    <s v="Realizar el mantenimiento y reparación de 49 vallas adscritas a la Unidad de Seguridad Fisica y Electrónica."/>
    <n v="8300012"/>
    <s v="31 DE DICIEMBRE 2022"/>
    <s v="900-IP-0071-2021"/>
    <m/>
    <n v="20220919"/>
    <n v="333219580"/>
    <s v="N/A"/>
    <s v="N/A"/>
    <m/>
    <x v="2"/>
    <s v="MARIO AREVALO"/>
    <d v="2022-01-12T00:00:00"/>
    <m/>
    <m/>
    <m/>
    <s v="Entregado al area"/>
    <x v="1"/>
    <s v="12 DE ENERO LLEGARON LOS _x000a_21 DE ENERO EN REVISION DE LA FPA E INVITACION_x000a_24 DE ENERO EN RECEPCION DE OFERTAS_x000a_26 DE ENERO EN REVISION DE LA EVALUACION_x000a_28 DE ENERO EN RP Y POLIZAS"/>
    <m/>
    <d v="2022-02-07T00:00:00"/>
    <x v="2"/>
    <m/>
    <n v="35"/>
    <n v="26"/>
    <s v="G"/>
    <s v="FUNCIONAMIENTO"/>
    <s v="800-AO-1342-2022"/>
    <d v="2022-01-26T00:00:00"/>
    <n v="8300012"/>
    <s v="LILI JOHANA SERNA MACHADO"/>
    <m/>
    <n v="0"/>
    <m/>
    <m/>
    <s v="N/A"/>
    <s v="N/A"/>
    <m/>
    <s v="CALI"/>
    <s v="LOCAL"/>
    <m/>
    <n v="0"/>
    <n v="0"/>
    <n v="1"/>
    <n v="24"/>
  </r>
  <r>
    <n v="24"/>
    <s v="0024"/>
    <s v="GAGHA"/>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s v="MARIO AREVALO"/>
    <d v="2022-01-12T00:00:00"/>
    <m/>
    <m/>
    <m/>
    <s v="Entregado al area"/>
    <x v="1"/>
    <s v="21 DE ENERO EN REVISION DE LA FPA E INVITACION_x000a_24 DE ENERO EN RECEPCION DE OFERTAS_x000a_28 DE ENERO EN RP Y POLIZAS"/>
    <m/>
    <d v="2022-02-15T00:00:00"/>
    <x v="2"/>
    <m/>
    <n v="43"/>
    <n v="34"/>
    <s v="G"/>
    <s v="FUNCIONAMIENTO"/>
    <s v="800-AO-1338-2022"/>
    <d v="2022-01-27T00:00:00"/>
    <n v="32870684"/>
    <s v="IDENTIFICACION DE COLOMBIA SAS"/>
    <m/>
    <n v="176073"/>
    <m/>
    <m/>
    <s v="N/A"/>
    <s v="N/A"/>
    <m/>
    <s v="CALI"/>
    <s v="LOCAL"/>
    <m/>
    <n v="5.3279963295641986E-3"/>
    <n v="0"/>
    <n v="1"/>
    <n v="30"/>
  </r>
  <r>
    <n v="25"/>
    <s v="0025"/>
    <s v="GAGHA"/>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s v="CRISTHIAN BURBANO"/>
    <d v="2022-01-05T00:00:00"/>
    <m/>
    <m/>
    <m/>
    <s v="Entregado al area"/>
    <x v="1"/>
    <s v="24 DE ENERO EN APROBACION DE POLIZAS_x000a_26 DE ENERO CONTRATADO_x000a_"/>
    <m/>
    <d v="2022-01-28T00:00:00"/>
    <x v="2"/>
    <m/>
    <n v="23"/>
    <n v="23"/>
    <s v="G"/>
    <s v="FUNCIONAMIENTO"/>
    <s v="800-AO-0231-2022"/>
    <d v="2022-01-07T00:00:00"/>
    <n v="11795189"/>
    <s v="CARVAJAL TECNOLOGIA  Y SERVICIO SAS"/>
    <m/>
    <n v="46811"/>
    <m/>
    <m/>
    <s v="N/A"/>
    <s v="N/A"/>
    <m/>
    <s v="CALI"/>
    <s v="LOCAL"/>
    <m/>
    <n v="3.952964026346901E-3"/>
    <n v="0"/>
    <n v="1"/>
    <n v="16"/>
  </r>
  <r>
    <n v="26"/>
    <s v="0026"/>
    <s v="GUENE"/>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s v="PAOLA BELTRAN"/>
    <d v="2021-01-06T00:00:00"/>
    <m/>
    <m/>
    <m/>
    <s v="Entregado al area"/>
    <x v="1"/>
    <s v="21 DE ENERO EN COTIZACIONES_x000a_24 de enero en solicitud de polizas y rp_x000a_26 DE ENERO EN APROBACION DE POLIZAS_x000a_28 DE ENRO EN APROBACION DE POLIZAS"/>
    <m/>
    <d v="2022-01-28T00:00:00"/>
    <x v="2"/>
    <m/>
    <n v="22"/>
    <n v="387"/>
    <s v="G"/>
    <s v="FUNCIONAMIENTO"/>
    <s v="500-AO-0976-2022"/>
    <d v="2022-01-21T00:00:00"/>
    <n v="36212000"/>
    <s v="NUEVO DIARIO DE OCCIDENTE SAS"/>
    <m/>
    <n v="840900"/>
    <m/>
    <m/>
    <s v="N/A"/>
    <s v="N/A"/>
    <m/>
    <s v="CALI"/>
    <s v="LOCAL"/>
    <m/>
    <n v="2.2694579911423936E-2"/>
    <n v="1"/>
    <n v="1"/>
    <n v="15"/>
  </r>
  <r>
    <n v="27"/>
    <s v="0027"/>
    <s v="GAGHA"/>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s v="MARIO AREVALO"/>
    <d v="2022-01-11T00:00:00"/>
    <e v="#VALUE!"/>
    <e v="#VALUE!"/>
    <s v="NO"/>
    <s v="Devuelto"/>
    <x v="2"/>
    <m/>
    <s v="21 DE ENERO EN REVISION DE LA FPA E INVITACION_x000a_24 DE ENERO EN RECEPCION DE OFERTAS_x000a_26 DE ENERO  DEVUELTO POR SOLICITUD DEL GERENTE"/>
    <d v="2022-01-26T00:00:00"/>
    <x v="5"/>
    <s v="ene"/>
    <n v="19"/>
    <n v="15"/>
    <s v="G"/>
    <s v="FUNCIONAMIENTO"/>
    <m/>
    <m/>
    <m/>
    <m/>
    <m/>
    <n v="162036036"/>
    <m/>
    <m/>
    <m/>
    <m/>
    <m/>
    <m/>
    <m/>
    <m/>
    <m/>
    <n v="0"/>
    <m/>
    <m/>
  </r>
  <r>
    <n v="28"/>
    <s v="0028"/>
    <s v="GAGHA"/>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x v="2"/>
    <m/>
    <n v="27"/>
    <n v="20"/>
    <s v="G"/>
    <s v="FUNCIONAMIENTO"/>
    <s v="800-AO-1377-2022"/>
    <d v="2022-01-27T00:00:00"/>
    <n v="197542274"/>
    <s v="COMPAÑÍA PARA LA CONSTRUCCION ESTUFDIOS TECNICOS MAQUINARIA Y MANTENIMIENTO PARA LA INGENIERIA  ARQUITECTURA Y OBRAS CIVILES SAS"/>
    <m/>
    <n v="0"/>
    <m/>
    <m/>
    <s v="2021-380"/>
    <d v="2022-01-21T00:00:00"/>
    <m/>
    <s v="CALI"/>
    <s v="LOCAL"/>
    <m/>
    <n v="0"/>
    <n v="0"/>
    <n v="1"/>
    <n v="18"/>
  </r>
  <r>
    <n v="29"/>
    <s v="0029"/>
    <s v="GAGHA"/>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x v="2"/>
    <m/>
    <n v="25"/>
    <n v="18"/>
    <s v="G"/>
    <s v="FUNCIONAMIENTO"/>
    <s v="800-AO-1378-2022"/>
    <d v="2022-01-27T00:00:00"/>
    <n v="122910984"/>
    <s v="VULCANIZADORA DE LA CRUZ"/>
    <m/>
    <n v="0"/>
    <m/>
    <m/>
    <s v="N/A"/>
    <s v="N/A"/>
    <m/>
    <s v="CALI"/>
    <s v="LOCAL"/>
    <m/>
    <n v="0"/>
    <n v="0"/>
    <n v="1"/>
    <n v="16"/>
  </r>
  <r>
    <n v="30"/>
    <s v="0030"/>
    <s v="GAGHA"/>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s v="LINA ECHAVARRIA"/>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x v="2"/>
    <m/>
    <n v="32"/>
    <n v="20"/>
    <s v="C"/>
    <s v="FUNCIONAMIENTO"/>
    <s v="800-AO-1478-2022"/>
    <d v="2022-01-28T00:00:00"/>
    <n v="258750040"/>
    <s v="CENTRO AUTOMOTRIZ DE REPARACION  Y SERVICIOS LTDA  CARS LTDA"/>
    <m/>
    <n v="0"/>
    <m/>
    <m/>
    <s v="2021-369"/>
    <d v="2021-12-14T00:00:00"/>
    <m/>
    <s v="CALI"/>
    <s v="LOCAL"/>
    <m/>
    <n v="0"/>
    <n v="0"/>
    <n v="1"/>
    <n v="21"/>
  </r>
  <r>
    <n v="31"/>
    <s v="0031"/>
    <s v="GAGHA"/>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s v="FRANCIA RAMÍREZ"/>
    <d v="2022-01-11T00:00:00"/>
    <m/>
    <m/>
    <m/>
    <s v="Entregado al area"/>
    <x v="1"/>
    <s v="21 DE ENERO EN REVISION DE LA INVITACION"/>
    <m/>
    <d v="2022-02-16T00:00:00"/>
    <x v="6"/>
    <m/>
    <n v="40"/>
    <n v="36"/>
    <s v="N/A"/>
    <s v="FUNCIONAMIENTO"/>
    <s v="800-CMA-1925-2021/800-AO-1670-2022"/>
    <d v="2022-02-08T00:00:00"/>
    <n v="150971296"/>
    <s v="CONSORCIO DOMAQ 2021"/>
    <m/>
    <n v="7945858"/>
    <m/>
    <m/>
    <s v="N/A"/>
    <s v="N/A"/>
    <m/>
    <s v="CALI"/>
    <s v="LOCAL"/>
    <m/>
    <n v="5.000000188777607E-2"/>
    <n v="0"/>
    <n v="0"/>
    <n v="40"/>
  </r>
  <r>
    <n v="32"/>
    <s v="0032"/>
    <s v="GAGHA"/>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s v="FRANCIA RAMÍREZ"/>
    <d v="2022-01-11T00:00:00"/>
    <m/>
    <m/>
    <m/>
    <s v="Entregado al area"/>
    <x v="1"/>
    <s v="21 DE ENERO EN REVISION DE LA INVITACION"/>
    <m/>
    <d v="2022-02-22T00:00:00"/>
    <x v="6"/>
    <m/>
    <n v="46"/>
    <n v="42"/>
    <s v="N/A"/>
    <s v="FUNCIONAMIENTO"/>
    <s v="800-CMA-1914-2021/800-AO-1667-2022"/>
    <d v="2022-02-08T00:00:00"/>
    <n v="187090041"/>
    <s v="UNION TEMPORAL M&amp;C2021"/>
    <m/>
    <n v="9846845"/>
    <m/>
    <m/>
    <s v="N/A"/>
    <s v="N/A"/>
    <m/>
    <s v="CALI"/>
    <s v="LOCAL"/>
    <m/>
    <n v="5.0000003554438247E-2"/>
    <n v="0"/>
    <n v="0"/>
    <n v="46"/>
  </r>
  <r>
    <n v="33"/>
    <s v="0033"/>
    <s v="GAGHA"/>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s v="FRANCIA RAMÍREZ"/>
    <d v="2022-01-11T00:00:00"/>
    <m/>
    <m/>
    <m/>
    <s v="Entregado al area"/>
    <x v="1"/>
    <s v="21 DE ENERO ESPERANDO LA MODIFICACION DEL FORMULARIO DE PRECIOS Y CANTIDADES"/>
    <m/>
    <d v="2022-02-18T00:00:00"/>
    <x v="6"/>
    <m/>
    <n v="42"/>
    <n v="38"/>
    <s v="N/A"/>
    <s v="FUNCIONAMIENTO"/>
    <s v="800-CMA-1916-2021/800-AO-1669-2022"/>
    <d v="2022-02-08T00:00:00"/>
    <n v="296008394"/>
    <s v="CONSORCIO IGS 2021"/>
    <m/>
    <n v="15579389"/>
    <m/>
    <m/>
    <s v="N/A"/>
    <s v="N/A"/>
    <m/>
    <s v="CALI"/>
    <s v="LOCAL"/>
    <m/>
    <n v="4.9999999518594733E-2"/>
    <n v="0"/>
    <n v="0"/>
    <n v="42"/>
  </r>
  <r>
    <n v="34"/>
    <s v="0034"/>
    <s v="GAGHA"/>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s v="FRANCIA RAMÍREZ"/>
    <d v="2022-01-11T00:00:00"/>
    <m/>
    <m/>
    <m/>
    <s v="Entregado al area"/>
    <x v="1"/>
    <s v="21 DE ENERO ESPERANDO LA MODIFICACION DEL FORMULARIO DE PRECIOS Y CANTIDADES"/>
    <m/>
    <d v="2022-02-25T00:00:00"/>
    <x v="6"/>
    <m/>
    <n v="49"/>
    <n v="45"/>
    <s v="N/A"/>
    <s v="FUNCIONAMIENTO"/>
    <s v="800-CMA-1913-2021/800-AO-1666-2022"/>
    <d v="2022-02-08T00:00:00"/>
    <n v="418913098"/>
    <s v="GUSTAVO ADOLFO TORRES DUARTE"/>
    <m/>
    <n v="22048057"/>
    <m/>
    <m/>
    <s v="N/A"/>
    <s v="N/A"/>
    <m/>
    <s v="BOGOTA"/>
    <s v="NACIONAL"/>
    <m/>
    <n v="4.9999998299169915E-2"/>
    <n v="0"/>
    <n v="0"/>
    <n v="49"/>
  </r>
  <r>
    <n v="35"/>
    <s v="0035"/>
    <s v="GAGHA"/>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s v="FRANCIA RAMÍREZ"/>
    <d v="2022-01-11T00:00:00"/>
    <m/>
    <m/>
    <m/>
    <s v="Entregado al area"/>
    <x v="1"/>
    <s v="21 DE ENERO ESPERANDO LA MODIFICACION DEL FORMULARIO DE PRECIOS Y CANTIDADES"/>
    <m/>
    <d v="2022-02-16T00:00:00"/>
    <x v="6"/>
    <m/>
    <n v="40"/>
    <n v="36"/>
    <s v="N/A"/>
    <s v="FUNCIONAMIENTO"/>
    <s v="800-CMA-1914-2021/800-AO-1668-2022"/>
    <d v="2022-02-08T00:00:00"/>
    <n v="434290090"/>
    <s v="UNION TEMPORAL  M&amp;C2021"/>
    <m/>
    <n v="22857373"/>
    <m/>
    <m/>
    <s v="N/A"/>
    <s v="N/A"/>
    <m/>
    <s v="CALI"/>
    <s v="LOCAL"/>
    <m/>
    <n v="4.9999999671878306E-2"/>
    <n v="0"/>
    <n v="0"/>
    <n v="40"/>
  </r>
  <r>
    <n v="36"/>
    <s v="0036"/>
    <s v="GUENAA"/>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s v="LUCY ARBELAEZ"/>
    <d v="2022-01-13T00:00:00"/>
    <m/>
    <m/>
    <m/>
    <s v="Entregado al area"/>
    <x v="1"/>
    <m/>
    <m/>
    <d v="2022-02-16T00:00:00"/>
    <x v="6"/>
    <m/>
    <n v="34"/>
    <n v="34"/>
    <s v="N/A"/>
    <s v="OPERACIÓN"/>
    <s v="300-CMA-1714-2019/300-AO-1042-2022"/>
    <d v="2022-01-25T00:00:00"/>
    <n v="328131896"/>
    <s v="CALES DE COLOMBIA SA"/>
    <m/>
    <n v="17908607"/>
    <m/>
    <m/>
    <s v="N/A"/>
    <s v="N/A"/>
    <m/>
    <s v="MEDELLIN"/>
    <s v="NACIONAL"/>
    <m/>
    <n v="5.1752921535893157E-2"/>
    <n v="1"/>
    <n v="0"/>
    <n v="34"/>
  </r>
  <r>
    <n v="37"/>
    <s v="0037"/>
    <s v="GAGHA"/>
    <d v="2022-01-14T00:00:00"/>
    <x v="1"/>
    <s v="GHA0048"/>
    <s v="FR-800-GAGHA-0097-2022"/>
    <s v="N/A"/>
    <s v="Suministrar dotación de calzado a los Servidores Públicos de EMCALI EICE ESP."/>
    <n v="463917000"/>
    <s v="29 de abril 2022"/>
    <s v="900-IP-0091-2022"/>
    <m/>
    <n v="202200920"/>
    <n v="463917000"/>
    <s v="N/A"/>
    <s v="N/A"/>
    <m/>
    <x v="2"/>
    <s v="PABLO CAICEDO"/>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x v="2"/>
    <m/>
    <n v="24"/>
    <n v="21"/>
    <s v="G"/>
    <s v="FUNCIONAMIENTO"/>
    <s v="800-AO-1340-2022"/>
    <d v="2022-01-27T00:00:00"/>
    <n v="463146394"/>
    <s v="STATON SAS"/>
    <m/>
    <n v="770606"/>
    <m/>
    <m/>
    <s v="2021-375"/>
    <s v="20 de diciembre 2021"/>
    <m/>
    <s v="BOGOTA"/>
    <s v="NACIONAL"/>
    <m/>
    <n v="1.661085927008495E-3"/>
    <n v="0"/>
    <n v="1"/>
    <n v="16"/>
  </r>
  <r>
    <n v="38"/>
    <s v="0038"/>
    <s v="GAGHA"/>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s v="JULIO GARCIA"/>
    <d v="2022-01-17T00:00:00"/>
    <m/>
    <m/>
    <m/>
    <s v="Entregado al area"/>
    <x v="1"/>
    <s v="21 DE ENERO EN REVISION DE LA COTIZACIONES_x000a_24 DE ENERO SE RECIBEN COTIZACIONES_x000a_26 DE ENERO EN ELABORACION DE LA  EVALUACION _x000a_28 de enero en revision de evaluacion"/>
    <m/>
    <d v="2022-02-08T00:00:00"/>
    <x v="2"/>
    <m/>
    <n v="25"/>
    <n v="22"/>
    <s v="G"/>
    <s v="FUNCIONAMIENTO"/>
    <s v="800-AO-1468-2022"/>
    <d v="2022-01-26T00:00:00"/>
    <n v="323631500"/>
    <s v="UNIDAD DE SALUD OCUPACIONAL SAS"/>
    <m/>
    <n v="0"/>
    <m/>
    <m/>
    <s v="N/A"/>
    <s v="N/A"/>
    <m/>
    <s v="CALI"/>
    <s v="LOCAL"/>
    <m/>
    <n v="0"/>
    <n v="0"/>
    <n v="1"/>
    <n v="17"/>
  </r>
  <r>
    <n v="39"/>
    <s v="0039"/>
    <s v="GAGHA"/>
    <d v="2022-01-14T00:00:00"/>
    <x v="1"/>
    <s v="GHA0216"/>
    <s v="FR-800-GAGHA-0094-2022"/>
    <s v="N/A"/>
    <s v="Compra de articulos de papelería (cajas de archivo No 12) para las dependencias de EMCALI EICE ESP."/>
    <n v="23902221"/>
    <s v="15 de marzo 2022"/>
    <s v="900-IP-0076-2022"/>
    <m/>
    <n v="202201123"/>
    <n v="23920000"/>
    <s v="N/A"/>
    <s v="N/A"/>
    <m/>
    <x v="2"/>
    <s v="JULIO GARCIA"/>
    <d v="2022-01-17T00:00:00"/>
    <m/>
    <m/>
    <m/>
    <s v="Entregado al area"/>
    <x v="1"/>
    <s v="21 DE ENERO EN REVISION DE LA INVITACION_x000a_24 DE ENERO EN RECEPCION DE OFERTAS_x000a_26 DE ENERO EN APROBACION DE POLIZAS_x000a_28 de enero entregado al area"/>
    <m/>
    <d v="2022-01-27T00:00:00"/>
    <x v="2"/>
    <m/>
    <n v="13"/>
    <n v="10"/>
    <s v="G"/>
    <s v="FUNCIONAMIENTO"/>
    <s v="800-AO-1041-2022"/>
    <d v="2022-01-24T00:00:00"/>
    <n v="23319240"/>
    <s v="AS DISTRIBUCION INSTITUCIONAL SAS"/>
    <m/>
    <n v="582981"/>
    <m/>
    <m/>
    <s v="2022-015"/>
    <s v="7 de enero 2022"/>
    <m/>
    <s v="CALI"/>
    <s v="LOCAL"/>
    <m/>
    <n v="2.4390243902439025E-2"/>
    <n v="0"/>
    <n v="1"/>
    <n v="9"/>
  </r>
  <r>
    <n v="40"/>
    <s v="0040"/>
    <s v="GAGHA"/>
    <d v="2022-01-14T00:00:00"/>
    <x v="1"/>
    <s v="GHA0061"/>
    <s v="FR-800-GAGHA-0100-2022"/>
    <s v="N/A"/>
    <s v="Realizar toma de pruebas de alcohol, pruebas de sustancias psicoactivas y verificación de las pruebas."/>
    <n v="82946029"/>
    <s v="31 DE DICIEMBRE 2022"/>
    <s v="900-IP-0106-2021"/>
    <m/>
    <n v="202201167"/>
    <n v="83000000"/>
    <s v="N/A"/>
    <s v="N/A"/>
    <m/>
    <x v="2"/>
    <s v="MARIO AREVALO"/>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x v="2"/>
    <m/>
    <n v="27"/>
    <n v="22"/>
    <s v="G"/>
    <s v="FUNCIONAMIENTO"/>
    <s v="800-AO-1512-2022"/>
    <d v="2022-01-28T00:00:00"/>
    <n v="67030000"/>
    <s v="CEMSO SAS"/>
    <m/>
    <n v="15916029"/>
    <m/>
    <m/>
    <s v="N/A"/>
    <s v="N/A"/>
    <m/>
    <s v="CALI"/>
    <s v="LOCAL"/>
    <m/>
    <n v="0.19188415879438905"/>
    <n v="0"/>
    <n v="1"/>
    <n v="19"/>
  </r>
  <r>
    <n v="41"/>
    <s v="0041"/>
    <s v="GAGHA"/>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s v="LINA ECHAVARRIA"/>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x v="2"/>
    <m/>
    <n v="25"/>
    <n v="20"/>
    <s v="G"/>
    <s v="FUNCIONAMIENTO"/>
    <s v="800-AO-1316-2022"/>
    <d v="2022-01-27T00:00:00"/>
    <n v="130598474"/>
    <s v="SERVICIOS TECNICOS E INGENIERIA (SETINGE LTDA)"/>
    <m/>
    <n v="0"/>
    <m/>
    <m/>
    <s v="2021-368"/>
    <d v="2021-12-14T00:00:00"/>
    <m/>
    <s v="BOGOTA"/>
    <s v="NACIONAL"/>
    <m/>
    <n v="0"/>
    <n v="0"/>
    <n v="1"/>
    <n v="17"/>
  </r>
  <r>
    <n v="42"/>
    <s v="0042"/>
    <s v="GAGHA"/>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s v="MARIO AREVALO"/>
    <d v="2022-01-19T00:00:00"/>
    <m/>
    <m/>
    <m/>
    <s v="Entregado al area"/>
    <x v="1"/>
    <s v="19 DE ENERO 2022 REASIGNARON EL PROCESO A MARIO AREVALO_x000a_21 DE ENERO EN COTIZACIONES_x000a_24 DE ENERO SE RECIBEN LAS COTIZACIONES_x000a_28 DE ENERO EN ELABORACION DE LA EVALUACION"/>
    <m/>
    <d v="2022-02-08T00:00:00"/>
    <x v="2"/>
    <m/>
    <n v="25"/>
    <n v="20"/>
    <s v="G"/>
    <s v="FUNCIONAMIENTO"/>
    <s v="800-AO-1513-2022"/>
    <d v="2022-01-28T00:00:00"/>
    <n v="376651270"/>
    <s v="INTERNATIONAL PETS LEANING SAS"/>
    <m/>
    <n v="24292134"/>
    <m/>
    <m/>
    <s v="N/A"/>
    <s v="N/A"/>
    <m/>
    <s v="CALI"/>
    <s v="LOCAL"/>
    <m/>
    <n v="6.0587438919434126E-2"/>
    <n v="0"/>
    <n v="1"/>
    <n v="17"/>
  </r>
  <r>
    <n v="43"/>
    <s v="0043"/>
    <s v="GUENE"/>
    <d v="2022-01-17T00:00:00"/>
    <x v="1"/>
    <s v="GE0246"/>
    <s v="FR-500-GE-0117-2022"/>
    <s v="N/A"/>
    <s v="Suministro de radios de comunicación portatiles"/>
    <n v="338606884"/>
    <s v="60 dias"/>
    <s v="900-IP-0131-2022"/>
    <m/>
    <n v="202201685"/>
    <n v="394128000"/>
    <s v="N/A"/>
    <s v="N/A"/>
    <m/>
    <x v="2"/>
    <s v="ANA MARIA GIL"/>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x v="2"/>
    <m/>
    <n v="22"/>
    <n v="18"/>
    <s v="G"/>
    <s v="FUNCIONAMIENTO"/>
    <s v="500-AO-1456-2022"/>
    <m/>
    <n v="335122981"/>
    <s v="RADIONET SOLUCIONES SA"/>
    <m/>
    <n v="3483903"/>
    <m/>
    <m/>
    <s v="2022-014"/>
    <d v="2022-01-07T00:00:00"/>
    <m/>
    <m/>
    <m/>
    <m/>
    <n v="1.0288931396917495E-2"/>
    <n v="1"/>
    <n v="1"/>
    <n v="16"/>
  </r>
  <r>
    <n v="44"/>
    <s v="0044"/>
    <s v="GAGHA"/>
    <d v="2022-01-18T00:00:00"/>
    <x v="1"/>
    <s v="GHA1600"/>
    <s v="FR-800-GAGHA-0095-2022"/>
    <s v="N/A"/>
    <s v="Jabon liquido espumoso para manos"/>
    <n v="199992024"/>
    <s v="30 de julio 2022"/>
    <s v="900-IP-0092-2022"/>
    <s v="IP-"/>
    <n v="202201122"/>
    <n v="200571511"/>
    <s v="N/A"/>
    <s v="N/A"/>
    <s v="N/A"/>
    <x v="2"/>
    <s v="CRISTHIAN BURBANO"/>
    <d v="2022-01-20T00:00:00"/>
    <e v="#VALUE!"/>
    <e v="#VALUE!"/>
    <s v="NO"/>
    <s v="Devuelto"/>
    <x v="2"/>
    <m/>
    <s v="24 DE ENERO SE ENVIO LA INVITACION A OFERTAR AL PROVEEDOR_x000a_27 DE ENERO SE DEVOLVIO AL AREA"/>
    <d v="2022-01-27T00:00:00"/>
    <x v="5"/>
    <s v="ene"/>
    <n v="9"/>
    <n v="7"/>
    <s v="G"/>
    <s v="FUNCIONAMIENTO"/>
    <m/>
    <m/>
    <m/>
    <m/>
    <m/>
    <n v="199992024"/>
    <m/>
    <m/>
    <m/>
    <m/>
    <m/>
    <m/>
    <m/>
    <m/>
    <m/>
    <n v="0"/>
    <m/>
    <m/>
  </r>
  <r>
    <n v="45"/>
    <s v="0045"/>
    <s v="GUENE"/>
    <d v="2022-01-18T00:00:00"/>
    <x v="1"/>
    <s v="GE0307"/>
    <s v="FR-500-GE-0121-2022"/>
    <s v="N/A"/>
    <s v="Suministro de sello de seguridad"/>
    <n v="25456563"/>
    <s v="90 dias"/>
    <s v="900-IP-0109-2022"/>
    <m/>
    <n v="202201714"/>
    <n v="25456563"/>
    <s v="N/A"/>
    <s v="N/A"/>
    <m/>
    <x v="2"/>
    <s v="SILVIA GALINDO"/>
    <d v="2022-01-20T00:00:00"/>
    <m/>
    <m/>
    <m/>
    <s v="Entregado al area"/>
    <x v="1"/>
    <s v="24 DE ENERO EN COTIZACIONES_x000a_26 de enero en revision de la fpa e invitacion_x000a_28 DE ENERO EN RECEPCION DE OFERTAS_x000a_EN REVISION DE LA EVALUACION"/>
    <m/>
    <d v="2022-02-14T00:00:00"/>
    <x v="2"/>
    <m/>
    <n v="27"/>
    <n v="25"/>
    <s v="G"/>
    <s v="FUNCIONAMIENTO"/>
    <s v="500-AO-1510-2022"/>
    <d v="2022-01-28T00:00:00"/>
    <n v="25456563"/>
    <s v="COMERCIO  INTERNACIONAL CONTENEDORES Y TRANSPORTE  SOCIEDAD  POR  ACCIONES SIMPLIFICADA"/>
    <m/>
    <n v="0"/>
    <m/>
    <m/>
    <s v="2022-023"/>
    <d v="2022-01-13T00:00:00"/>
    <m/>
    <s v="BOGOTA"/>
    <s v="NACIONAL"/>
    <m/>
    <n v="0"/>
    <n v="1"/>
    <n v="1"/>
    <n v="19"/>
  </r>
  <r>
    <n v="46"/>
    <s v="0046"/>
    <s v="GUENE"/>
    <d v="2022-01-18T00:00:00"/>
    <x v="1"/>
    <s v="GE0278"/>
    <s v="FR-500-GE-0107-2022"/>
    <s v="N/A"/>
    <s v="Suministro de cajas hermeticas"/>
    <n v="157107757"/>
    <s v="90 dias"/>
    <s v="900-IP-0130-2022"/>
    <m/>
    <n v="202201142"/>
    <n v="309427468"/>
    <s v="N/A"/>
    <s v="N/A"/>
    <m/>
    <x v="2"/>
    <s v="ANA MARIA GIL"/>
    <d v="2022-01-21T00:00:00"/>
    <m/>
    <m/>
    <m/>
    <s v="Entregado al area"/>
    <x v="1"/>
    <s v="21 de enero en solicitud de conceptos_x000a_24 de enero en recepcion de cotizaciones_x000a_26 de enero en aceptacion_x000a_esperando revision de la aceptacion"/>
    <m/>
    <d v="2022-02-11T00:00:00"/>
    <x v="2"/>
    <m/>
    <n v="24"/>
    <n v="21"/>
    <s v="G"/>
    <s v="INVERSION"/>
    <s v="500-AO-1472-2022"/>
    <d v="2022-01-28T00:00:00"/>
    <n v="157107757"/>
    <s v="SOCIEDAD INDUSTRIAL METAL ELECTRICA SAS"/>
    <m/>
    <n v="0"/>
    <m/>
    <m/>
    <s v="2021-385"/>
    <d v="2021-12-30T00:00:00"/>
    <m/>
    <s v="MEDELLIN "/>
    <s v="NACIONAL"/>
    <m/>
    <n v="0"/>
    <n v="1"/>
    <n v="1"/>
    <n v="18"/>
  </r>
  <r>
    <n v="47"/>
    <s v="0047"/>
    <s v="GUENE"/>
    <d v="2022-01-18T00:00:00"/>
    <x v="1"/>
    <s v="GE0204"/>
    <s v="FR-500-GE-0108-2022"/>
    <s v="N/A"/>
    <s v="Suministro de modems 4G"/>
    <n v="398453055"/>
    <s v="90 dias"/>
    <s v="900-IP-0129-2022"/>
    <m/>
    <n v="202201141"/>
    <n v="398453055"/>
    <s v="N/A"/>
    <s v="N/A"/>
    <m/>
    <x v="2"/>
    <s v="ANA MARIA GIL"/>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x v="2"/>
    <m/>
    <n v="20"/>
    <n v="17"/>
    <s v="G"/>
    <s v="FUNCIONAMIENTO"/>
    <s v="500-AO-1365-2022"/>
    <d v="2022-01-27T00:00:00"/>
    <n v="398453055"/>
    <s v="INDUSTRIA ELECTRICA DEL CAUCA SAS"/>
    <m/>
    <n v="0"/>
    <m/>
    <m/>
    <s v="2022-004"/>
    <d v="2022-01-05T00:00:00"/>
    <m/>
    <s v="YUMBO "/>
    <s v="MUNICIPAL"/>
    <m/>
    <n v="0"/>
    <n v="1"/>
    <n v="1"/>
    <n v="14"/>
  </r>
  <r>
    <n v="48"/>
    <s v="0048"/>
    <s v="GUENE"/>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s v="JHON LARRY "/>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x v="2"/>
    <m/>
    <n v="22"/>
    <n v="20"/>
    <s v="G"/>
    <s v="FUNCIONAMIENTO"/>
    <s v="500-AO-1428-2022"/>
    <d v="2022-01-28T00:00:00"/>
    <n v="3001775"/>
    <s v="CONAMET SAS"/>
    <m/>
    <n v="0"/>
    <m/>
    <m/>
    <s v="N/A"/>
    <s v="N/A"/>
    <m/>
    <s v="BOGOTA"/>
    <s v="NACIONAL"/>
    <m/>
    <n v="0"/>
    <n v="1"/>
    <n v="1"/>
    <n v="16"/>
  </r>
  <r>
    <n v="49"/>
    <s v="0049"/>
    <s v="GUENE"/>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s v="JHON LARRY "/>
    <d v="2022-01-20T00:00:00"/>
    <m/>
    <m/>
    <m/>
    <s v="Entregado al area"/>
    <x v="1"/>
    <s v="21 de enero en solicitud de conceptos_x000a_24 DE ENERO EN REVISION DE FPA E INVITACION_x000a_26 DE ENERO EN REVISION DE LA EVALUACION_x000a_28 de enero en solicitud de polizas y rp"/>
    <m/>
    <d v="2022-02-09T00:00:00"/>
    <x v="2"/>
    <m/>
    <n v="22"/>
    <n v="20"/>
    <s v="G"/>
    <s v="FUNCIONAMIENTO"/>
    <s v="500-AO-1341-2022"/>
    <d v="2022-01-27T00:00:00"/>
    <n v="5584670"/>
    <s v="MESURA Y METROLOGIA LTDA"/>
    <m/>
    <n v="0"/>
    <m/>
    <m/>
    <s v="N/A"/>
    <s v="N/A"/>
    <m/>
    <s v="CALI"/>
    <s v="LOCAL"/>
    <m/>
    <n v="0"/>
    <n v="1"/>
    <n v="1"/>
    <n v="16"/>
  </r>
  <r>
    <n v="50"/>
    <s v="0050"/>
    <s v="GUENE"/>
    <d v="2022-01-18T00:00:00"/>
    <x v="1"/>
    <s v="GE0302"/>
    <s v="FR-500-GE-0114-2022"/>
    <s v="N/A"/>
    <s v="Mnatenimiento a equipos de Calibración"/>
    <n v="13119750"/>
    <s v="60 dias"/>
    <s v="900-IP-0117-2022"/>
    <m/>
    <n v="202201682"/>
    <n v="13119750"/>
    <s v="N/A"/>
    <s v="N/A"/>
    <m/>
    <x v="2"/>
    <s v="JHON LARRY "/>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x v="2"/>
    <m/>
    <n v="21"/>
    <n v="19"/>
    <s v="G"/>
    <s v="FUNCIONAMIENTO"/>
    <s v="500-AO-1375-2022"/>
    <d v="2022-01-27T00:00:00"/>
    <n v="13119750"/>
    <s v="MESSEN SAS"/>
    <m/>
    <n v="0"/>
    <m/>
    <m/>
    <s v="N/A"/>
    <s v="N/A"/>
    <m/>
    <s v="BOGOTA"/>
    <s v="NACIONAL"/>
    <m/>
    <n v="0"/>
    <n v="1"/>
    <n v="1"/>
    <n v="15"/>
  </r>
  <r>
    <n v="51"/>
    <s v="0051"/>
    <s v="GUENE"/>
    <d v="2022-01-18T00:00:00"/>
    <x v="1"/>
    <s v="GE0303"/>
    <s v="FR-500-GE-0115-2022"/>
    <s v="N/A"/>
    <s v="Calibración de Instrumentos y Equipos de Laboratorio"/>
    <n v="40712800"/>
    <s v="15 de diciembre 2022"/>
    <s v="900-IP-0107-2022"/>
    <s v="IP-"/>
    <n v="202201683"/>
    <n v="40721800"/>
    <s v="N/A"/>
    <s v="N/A"/>
    <s v="N/A"/>
    <x v="2"/>
    <s v="SILVIA GALINDO"/>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x v="5"/>
    <s v="ene"/>
    <n v="10"/>
    <n v="8"/>
    <s v="G"/>
    <s v="FUNCIONAMIENTO"/>
    <m/>
    <m/>
    <m/>
    <m/>
    <m/>
    <n v="40712800"/>
    <m/>
    <m/>
    <m/>
    <m/>
    <m/>
    <m/>
    <m/>
    <m/>
    <m/>
    <n v="1"/>
    <m/>
    <m/>
  </r>
  <r>
    <n v="52"/>
    <s v="0052"/>
    <s v="GUENE"/>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s v="SILVIA GALINDO"/>
    <d v="2022-01-20T00:00:00"/>
    <e v="#VALUE!"/>
    <e v="#VALUE!"/>
    <s v="NO"/>
    <s v="Devuelto"/>
    <x v="2"/>
    <m/>
    <s v="24 DE ENERO EN COTIZACIONES_x000a_26 de enero el proveedor no ha enviado la cotizacion_x000a_28 DE ENERO EN COTIZACIONES NO SE HA RECIBIDO RESPUES DEL PROVEEDOR"/>
    <d v="2022-01-28T00:00:00"/>
    <x v="5"/>
    <s v="ene"/>
    <n v="10"/>
    <n v="8"/>
    <s v="G"/>
    <s v="FUNCIONAMIENTO"/>
    <m/>
    <m/>
    <m/>
    <m/>
    <m/>
    <n v="62492850"/>
    <m/>
    <m/>
    <m/>
    <m/>
    <m/>
    <m/>
    <m/>
    <m/>
    <m/>
    <n v="1"/>
    <m/>
    <m/>
  </r>
  <r>
    <n v="53"/>
    <s v="0053"/>
    <s v="GUENE"/>
    <d v="2022-01-18T00:00:00"/>
    <x v="1"/>
    <s v="GE0309"/>
    <s v="FR-500-GE-0126-2022"/>
    <s v="N/A"/>
    <s v="Suministro de cajas metalicas para medidores"/>
    <n v="31318283"/>
    <s v="90 dias"/>
    <s v="900-IP-0119-2022"/>
    <m/>
    <n v="202200904"/>
    <n v="31318283"/>
    <s v="N/A"/>
    <s v="N/A"/>
    <m/>
    <x v="2"/>
    <s v="JHON LARRY "/>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x v="2"/>
    <m/>
    <n v="24"/>
    <n v="22"/>
    <s v="G"/>
    <s v="FUNCIONAMIENTO"/>
    <s v="500-AO-1521-2022"/>
    <d v="2022-01-28T00:00:00"/>
    <n v="31318283"/>
    <s v="INDUSTRIAS REBRA SAS"/>
    <m/>
    <n v="0"/>
    <m/>
    <m/>
    <s v="N/A"/>
    <s v="N/A"/>
    <m/>
    <s v="YUMBO"/>
    <s v="REGIONAL"/>
    <m/>
    <n v="0"/>
    <n v="1"/>
    <n v="1"/>
    <n v="18"/>
  </r>
  <r>
    <n v="54"/>
    <s v="0054"/>
    <s v="GUENE"/>
    <d v="2022-01-18T00:00:00"/>
    <x v="1"/>
    <s v="GE0236"/>
    <s v="FR-500-GE-0125-2022"/>
    <s v="N/A"/>
    <s v="Suministro de cajas Policarbonato"/>
    <n v="48788215"/>
    <s v="90 dias"/>
    <s v="900-IP-0110-2022"/>
    <m/>
    <n v="202201938"/>
    <n v="48788215"/>
    <s v="N/A"/>
    <s v="N/A"/>
    <m/>
    <x v="2"/>
    <s v="SILVIA GALINDO"/>
    <d v="2022-01-20T00:00:00"/>
    <m/>
    <m/>
    <m/>
    <s v="Entregado al area"/>
    <x v="1"/>
    <s v="24 DE ENERO EN COTIZACIONES_x000a_26 de enero en elaboracion de fpa e invitacion_x000a_28 DE ENERO EN RECEPCION DE OFERTAS"/>
    <m/>
    <d v="2022-02-10T00:00:00"/>
    <x v="2"/>
    <m/>
    <n v="23"/>
    <n v="21"/>
    <s v="G"/>
    <s v="FUNCIONAMIENTO"/>
    <s v="500-AO-1511-2022"/>
    <d v="2022-01-28T00:00:00"/>
    <n v="48788215"/>
    <s v="COMPAC SAS"/>
    <m/>
    <n v="0"/>
    <m/>
    <m/>
    <s v="2022-025"/>
    <d v="2022-01-13T00:00:00"/>
    <m/>
    <s v="BOGOTA"/>
    <s v="NACIONAL"/>
    <m/>
    <n v="0"/>
    <n v="1"/>
    <n v="1"/>
    <n v="17"/>
  </r>
  <r>
    <n v="55"/>
    <s v="0055"/>
    <s v="GUENE"/>
    <d v="2022-01-18T00:00:00"/>
    <x v="1"/>
    <s v="GE0201"/>
    <s v="FR-500-GE-0119-2022"/>
    <s v="N/A"/>
    <s v="Suministro sellos de bornera para medidor de energía"/>
    <n v="8407493"/>
    <s v="1 mes"/>
    <s v="900-IP-0118-2022"/>
    <m/>
    <n v="202201115"/>
    <n v="8407493"/>
    <s v="N/A"/>
    <s v="N/A"/>
    <m/>
    <x v="2"/>
    <s v="JHON LARRY "/>
    <d v="2022-01-20T00:00:00"/>
    <m/>
    <m/>
    <m/>
    <s v="Entregado al area"/>
    <x v="1"/>
    <s v="21 de enero en solicitud de conceptos_x000a_24 DE ENERO EN COTIZACIONES_x000a_26 DE ENERO EN RECECION DE OFERTAS_x000a_EN SOLICITUD DE REGISTRO Y POLIZAS"/>
    <m/>
    <d v="2022-02-11T00:00:00"/>
    <x v="2"/>
    <m/>
    <n v="24"/>
    <n v="22"/>
    <s v="G"/>
    <s v="FUNCIONAMIENTO"/>
    <s v="500-AO-1374-2022"/>
    <d v="2022-01-27T00:00:00"/>
    <n v="8407493"/>
    <s v="NORMARH SAS"/>
    <m/>
    <n v="0"/>
    <m/>
    <m/>
    <s v="2021-388"/>
    <d v="2022-01-06T00:00:00"/>
    <m/>
    <s v="PEREIRA"/>
    <s v="NACIONAL"/>
    <m/>
    <n v="0"/>
    <n v="1"/>
    <n v="1"/>
    <n v="18"/>
  </r>
  <r>
    <n v="56"/>
    <s v="0056"/>
    <s v="GUENAA"/>
    <d v="2022-01-18T00:00:00"/>
    <x v="1"/>
    <s v="GAA0350"/>
    <s v="FR-300-GAA-0007-2022"/>
    <s v="N/A"/>
    <s v="Mantenimiento de Plotter, consecución de repuestos originales e insumos para el correcto funcionamiento del mismo."/>
    <n v="8000000"/>
    <s v="6 meses"/>
    <s v="900-IP-0123-2022"/>
    <m/>
    <n v="202200909"/>
    <n v="8000000"/>
    <s v="N/A"/>
    <s v="N/A"/>
    <m/>
    <x v="2"/>
    <s v="IVAN ALDANA"/>
    <d v="2022-01-21T00:00:00"/>
    <m/>
    <m/>
    <m/>
    <s v="Entregado al area"/>
    <x v="1"/>
    <s v="24 DE ENERO EN COTIZACIONES_x000a_26 DE ENERO EN ELABORACION DE LA EVALUACION_x000a_28 de enero en espera de numeracion de la aceptacion"/>
    <m/>
    <d v="2022-02-13T00:00:00"/>
    <x v="2"/>
    <m/>
    <n v="26"/>
    <n v="23"/>
    <s v="G"/>
    <s v="FUNCIONAMIENTO"/>
    <s v="300-AO-1420-2022"/>
    <d v="2022-01-27T00:00:00"/>
    <n v="8000000"/>
    <s v="JARVITH ALONSO QUINTERO"/>
    <m/>
    <n v="0"/>
    <m/>
    <m/>
    <s v="N/A"/>
    <s v="N/A"/>
    <m/>
    <s v="CALI"/>
    <s v="LOCAL"/>
    <m/>
    <n v="0"/>
    <n v="1"/>
    <n v="1"/>
    <n v="18"/>
  </r>
  <r>
    <n v="57"/>
    <s v="0057"/>
    <s v="GUENAA"/>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s v="CENELIA CRUZ"/>
    <d v="2022-01-20T00:00:00"/>
    <m/>
    <m/>
    <m/>
    <s v="Entregado al area"/>
    <x v="1"/>
    <s v="21 de enero en revisionde la invitacion por parte de la jefe"/>
    <m/>
    <d v="2022-02-08T00:00:00"/>
    <x v="6"/>
    <m/>
    <n v="21"/>
    <n v="19"/>
    <s v="N/A"/>
    <s v="OPERACIÓN"/>
    <s v="300-CMA-1241-2020/300-AO-1371-2022"/>
    <d v="2022-01-26T00:00:00"/>
    <n v="298130016"/>
    <s v="SULFOQUIMICA SA"/>
    <m/>
    <n v="335732"/>
    <m/>
    <m/>
    <s v="2022-031"/>
    <d v="2022-01-17T00:00:00"/>
    <m/>
    <s v="ITAGUI"/>
    <s v="NACIONAL"/>
    <m/>
    <n v="1.1248593925759281E-3"/>
    <n v="1"/>
    <n v="0"/>
    <n v="21"/>
  </r>
  <r>
    <n v="58"/>
    <s v="0058"/>
    <s v="GUENAA"/>
    <d v="2022-01-18T00:00:00"/>
    <x v="1"/>
    <s v="GAA0218"/>
    <s v="FR-300-GAA-0026-2022"/>
    <s v="300-CMA-1243-2020"/>
    <s v="Suministro de Cloro, para ser utilizado en el Tratamiento de Agua Potable para consumo humano."/>
    <n v="1181777325"/>
    <s v="75 dias"/>
    <s v="N/A"/>
    <m/>
    <n v="202200895"/>
    <n v="1406325281"/>
    <s v="N/A"/>
    <s v="N/A"/>
    <m/>
    <x v="1"/>
    <s v="LUCY ARBELAEZ"/>
    <d v="2022-01-20T00:00:00"/>
    <m/>
    <m/>
    <m/>
    <s v="Entregado al area"/>
    <x v="1"/>
    <m/>
    <m/>
    <d v="2022-02-08T00:00:00"/>
    <x v="6"/>
    <m/>
    <n v="21"/>
    <n v="19"/>
    <s v="N/A"/>
    <s v="OPERACIÓN"/>
    <s v="300-CMA-1243-2020/300-AO-1372-2022"/>
    <d v="2022-01-27T00:00:00"/>
    <n v="1181118035"/>
    <s v="QUIMPAC DE COLOMBIA SA"/>
    <m/>
    <n v="659290"/>
    <m/>
    <m/>
    <s v="2022-034"/>
    <d v="2022-01-17T00:00:00"/>
    <m/>
    <s v="YUMBO"/>
    <s v="MUNICIPAL"/>
    <m/>
    <n v="5.5788005578800558E-4"/>
    <n v="1"/>
    <n v="0"/>
    <n v="21"/>
  </r>
  <r>
    <n v="59"/>
    <s v="0059"/>
    <s v="GUENAA"/>
    <d v="2022-01-18T00:00:00"/>
    <x v="1"/>
    <s v="GAA0217"/>
    <s v="FR-300-GAA-0027-2022"/>
    <s v="300-CMA-1243-2020"/>
    <s v="Suministro de Hidróxido de Sodio para ser utilizado en el Tratamiento de Agua Potable para consumo humano."/>
    <n v="46963851"/>
    <s v="10 dias"/>
    <s v="N/A"/>
    <m/>
    <n v="202200901"/>
    <n v="55891920"/>
    <s v="N/A"/>
    <s v="N/A"/>
    <m/>
    <x v="1"/>
    <s v="LUCY ARBELAEZ"/>
    <d v="2022-01-20T00:00:00"/>
    <m/>
    <m/>
    <m/>
    <s v="Entregado al area"/>
    <x v="1"/>
    <m/>
    <m/>
    <d v="2022-02-09T00:00:00"/>
    <x v="6"/>
    <m/>
    <n v="22"/>
    <n v="20"/>
    <s v="N/A"/>
    <s v="OPERACIÓN"/>
    <s v="300-CMA-1243-2020/300-AO-1373-2022"/>
    <d v="2022-01-27T00:00:00"/>
    <n v="46939530"/>
    <s v="QUIMPAC DE COLOMBIA SA"/>
    <m/>
    <n v="24321"/>
    <m/>
    <m/>
    <s v="2022-030"/>
    <d v="2022-01-17T00:00:00"/>
    <m/>
    <s v="CALI"/>
    <s v="LOCAL"/>
    <m/>
    <n v="5.1786639047125837E-4"/>
    <n v="1"/>
    <n v="0"/>
    <n v="22"/>
  </r>
  <r>
    <n v="60"/>
    <s v="0060"/>
    <s v="GUENAA"/>
    <d v="2022-01-18T00:00:00"/>
    <x v="1"/>
    <s v="GAA0223"/>
    <s v="FR-300-GAA-0028-2022"/>
    <s v="300-CMA-1245-2020"/>
    <s v="Suministro de Coagulante para ser utilizado en el Tratamiento de Agua Potable para consumo humano"/>
    <n v="1504140966"/>
    <s v="74 dias"/>
    <s v="N/A"/>
    <m/>
    <n v="202200900"/>
    <n v="1526456138"/>
    <s v="N/A"/>
    <s v="N/A"/>
    <m/>
    <x v="1"/>
    <s v="LUCY ARBELAEZ"/>
    <d v="2022-01-20T00:00:00"/>
    <e v="#REF!"/>
    <e v="#REF!"/>
    <s v="SI"/>
    <s v="Entregado al area"/>
    <x v="1"/>
    <m/>
    <m/>
    <d v="2022-02-14T00:00:00"/>
    <x v="7"/>
    <m/>
    <n v="27"/>
    <n v="25"/>
    <s v="N/A"/>
    <s v="FUNCIONAMIENTO"/>
    <s v="300-CMA-1245-2020/300-AO-1616-2022"/>
    <d v="2022-01-28T00:00:00"/>
    <n v="1282734965.3999999"/>
    <s v="SULFOQUIMICA SA"/>
    <m/>
    <n v="221406000.60000014"/>
    <m/>
    <m/>
    <s v="2022-032"/>
    <d v="2022-01-17T00:00:00"/>
    <m/>
    <s v="YUMBO"/>
    <s v="MUNICIPAL"/>
    <m/>
    <n v="0.14719764011799419"/>
    <n v="1"/>
    <n v="0"/>
    <n v="27"/>
  </r>
  <r>
    <n v="61"/>
    <s v="0061"/>
    <s v="GUENAA"/>
    <d v="2022-01-18T00:00:00"/>
    <x v="1"/>
    <s v="GAA0221"/>
    <s v="FR-300-GAA-0029-2022"/>
    <s v="300-CMA-1246-2020"/>
    <s v="Suministro de Coagulante para las Plantas Rio Cauca, Rio Cali, La Reforma y La Rivera: Hidroxicloruro de Aluminio."/>
    <n v="766147800"/>
    <s v="70 dias"/>
    <s v="N/A"/>
    <m/>
    <n v="202200898"/>
    <n v="796239234"/>
    <s v="N/A"/>
    <s v="N/A"/>
    <m/>
    <x v="1"/>
    <s v="LUCY ARBELAEZ"/>
    <d v="2022-01-20T00:00:00"/>
    <e v="#REF!"/>
    <e v="#REF!"/>
    <s v="SI"/>
    <s v="Entregado al area"/>
    <x v="1"/>
    <s v="8 DE MARZO ENTREGADO AL AREA"/>
    <m/>
    <d v="2022-03-08T00:00:00"/>
    <x v="7"/>
    <m/>
    <n v="49"/>
    <n v="47"/>
    <s v="N/A"/>
    <s v="FUNCIONAMIENTO"/>
    <s v="300-CMA-1246-2020/300-AO-1672-2022"/>
    <d v="2022-02-08T00:00:00"/>
    <n v="669060200"/>
    <s v="QUIMPAC DE COLOMBIA SA"/>
    <m/>
    <n v="97087600"/>
    <m/>
    <m/>
    <s v="2022-029"/>
    <d v="2022-01-17T00:00:00"/>
    <m/>
    <s v="YUMBO "/>
    <s v="MUNICIPAL"/>
    <m/>
    <n v="0.12672176308539945"/>
    <n v="1"/>
    <n v="0"/>
    <n v="49"/>
  </r>
  <r>
    <n v="62"/>
    <s v="0062"/>
    <s v="GG"/>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s v="JUAN PABLO QUIMBAYO"/>
    <d v="2022-01-20T00:00:00"/>
    <m/>
    <m/>
    <m/>
    <s v="Entregado al area"/>
    <x v="1"/>
    <s v="21 de enero en cotizaciones_x000a_24 DE ENERO EN INVITACION A OFERTAR_x000a_26 de enero en revision de la evaluacion _x000a_27 de enero en rp y polizas"/>
    <m/>
    <d v="2022-02-03T00:00:00"/>
    <x v="2"/>
    <m/>
    <n v="16"/>
    <n v="14"/>
    <s v="G"/>
    <s v="FUNCIONAMIENTO"/>
    <s v="100-AO-1328-2022"/>
    <d v="2022-01-27T00:00:00"/>
    <n v="84605611"/>
    <s v="UNION TEMPORAL SERVIECOLOGICO"/>
    <m/>
    <n v="0"/>
    <m/>
    <m/>
    <s v="N/A"/>
    <s v="N/A"/>
    <m/>
    <s v="CALI"/>
    <s v="LOCAL"/>
    <m/>
    <n v="0"/>
    <n v="0"/>
    <n v="1"/>
    <n v="12"/>
  </r>
  <r>
    <n v="63"/>
    <s v="0063"/>
    <s v="GUENAA"/>
    <d v="2022-01-18T00:00:00"/>
    <x v="1"/>
    <s v="GAA0176"/>
    <s v="FR-300-GAA-0013-2022"/>
    <s v="N/A"/>
    <s v="Restauración losas canal interceptor Sur."/>
    <n v="197295959"/>
    <s v="6 meses"/>
    <s v="900-IP-0095-2022"/>
    <m/>
    <n v="202201926"/>
    <n v="200000000"/>
    <s v="N/A"/>
    <s v="N/A"/>
    <m/>
    <x v="2"/>
    <s v="JUAN PABLO QUIMBAYO"/>
    <d v="2022-01-20T00:00:00"/>
    <m/>
    <m/>
    <m/>
    <s v="Entregado al area"/>
    <x v="1"/>
    <s v="21 de enero en cotizaciones_x000a_24 DE ENERO EN INVITACION A OFERTAR_x000a_26 de enero en revision de la evaluacion _x000a_27 de enero en rp y polizas"/>
    <m/>
    <d v="2022-02-07T00:00:00"/>
    <x v="2"/>
    <m/>
    <n v="20"/>
    <n v="18"/>
    <s v="G"/>
    <s v="INVERSION"/>
    <s v="300-AO-1330-2022"/>
    <d v="2022-01-27T00:00:00"/>
    <n v="194860197"/>
    <s v="PROYECTOS Y CONSTRUCCIONES DEL PACIFICO SAS"/>
    <m/>
    <n v="2435762"/>
    <m/>
    <m/>
    <s v="N/A"/>
    <s v="N/A"/>
    <m/>
    <s v="BUENAVENTURA"/>
    <s v="REGIONAL"/>
    <m/>
    <n v="1.2345726756623536E-2"/>
    <n v="1"/>
    <n v="1"/>
    <n v="14"/>
  </r>
  <r>
    <n v="64"/>
    <s v="0064"/>
    <s v="GUENAA"/>
    <d v="2022-01-18T00:00:00"/>
    <x v="1"/>
    <s v="GAA0628"/>
    <s v="FR-300-GAA-0014-2022"/>
    <s v="N/A"/>
    <s v="Reposición redes alcantarillado barrio Comuneros I"/>
    <n v="363128044"/>
    <s v="6 meses"/>
    <s v="900-IP-0086-2022"/>
    <m/>
    <n v="202201918"/>
    <n v="365000000"/>
    <s v="N/A"/>
    <s v="N/A"/>
    <m/>
    <x v="2"/>
    <s v="VIAGNERY LOPEZ"/>
    <d v="2022-01-20T00:00:00"/>
    <m/>
    <m/>
    <m/>
    <s v="Entregado al area"/>
    <x v="1"/>
    <s v="21 DE ENERO EN REVISION DE LA FPA E INVITACION_x000a_24 de enero en invitacion a ofertar_x000a_26 de enero en aceptacion_x000a_27 de enero en solicitud de polizas y rp"/>
    <m/>
    <d v="2022-02-08T00:00:00"/>
    <x v="2"/>
    <m/>
    <n v="21"/>
    <n v="19"/>
    <s v="G"/>
    <s v="INVERSION"/>
    <s v="300-AO-1311-2022"/>
    <d v="2022-01-27T00:00:00"/>
    <n v="362715477"/>
    <s v="JAIRO MARTIN VARGAS DIAZ"/>
    <m/>
    <n v="412567"/>
    <m/>
    <m/>
    <s v="N/A"/>
    <s v="N/A"/>
    <m/>
    <s v="CALI"/>
    <s v="CALI"/>
    <m/>
    <n v="1.1361474466565849E-3"/>
    <n v="1"/>
    <n v="1"/>
    <n v="15"/>
  </r>
  <r>
    <n v="65"/>
    <s v="0065"/>
    <s v="GUENAA"/>
    <d v="2022-01-18T00:00:00"/>
    <x v="1"/>
    <s v="GAA0162"/>
    <s v="FR-300-GAA-0015-2022"/>
    <s v="N/A"/>
    <s v="Reposición redes alcantarillado barrio Andres Sanin"/>
    <n v="490449035"/>
    <s v="6 meses"/>
    <s v="900-IP-0102-2022"/>
    <m/>
    <n v="202201917"/>
    <n v="495000000"/>
    <s v="N/A"/>
    <s v="N/A"/>
    <m/>
    <x v="2"/>
    <s v="HAROLD MONDRAGON"/>
    <d v="2022-01-20T00:00:00"/>
    <m/>
    <m/>
    <m/>
    <s v="Entregado al area"/>
    <x v="1"/>
    <s v="21 de enero en cotizaciones _x000a_24 DE ENERO EN REVISION DE LA FPA_x000a_26 DE ENERO EN REVISION DE LA EVALUACION_x000a_27 de enero en solicitud de polizas y registro presupuestal"/>
    <m/>
    <d v="2022-02-03T00:00:00"/>
    <x v="2"/>
    <m/>
    <n v="16"/>
    <n v="14"/>
    <s v="G"/>
    <s v="INVERSION"/>
    <s v="300-AO-1336-2022"/>
    <d v="2022-01-27T00:00:00"/>
    <n v="490449033"/>
    <s v="AYAPAC CONSTRUCCIONES SAS"/>
    <m/>
    <n v="2"/>
    <m/>
    <m/>
    <s v="N/A"/>
    <s v="N/A"/>
    <m/>
    <s v="CALI"/>
    <s v="LOCAL"/>
    <m/>
    <n v="4.0778956777843392E-9"/>
    <n v="1"/>
    <n v="1"/>
    <n v="12"/>
  </r>
  <r>
    <n v="66"/>
    <s v="0066"/>
    <s v="GUENAA"/>
    <d v="2022-01-18T00:00:00"/>
    <x v="1"/>
    <s v="GAA0633"/>
    <s v="FR-300-GAA-0016-2022"/>
    <s v="N/A"/>
    <s v="Reposición redes alcantarillado barrio Napoles"/>
    <n v="304533212"/>
    <s v="6 meses"/>
    <s v="900-IP-0089-2022"/>
    <m/>
    <n v="202201927"/>
    <n v="310000000"/>
    <s v="N/A"/>
    <s v="N/A"/>
    <m/>
    <x v="2"/>
    <s v="VIAGNERY LOPEZ"/>
    <d v="2022-01-20T00:00:00"/>
    <m/>
    <m/>
    <m/>
    <s v="Entregado al area"/>
    <x v="1"/>
    <s v="24 de enero en invitacion a ofertar_x000a_26 de enero en aceptacion_x000a_27 de enero en solicitud de polizas y rp"/>
    <m/>
    <d v="2022-02-01T00:00:00"/>
    <x v="2"/>
    <m/>
    <n v="14"/>
    <n v="12"/>
    <s v="G"/>
    <s v="INVERSION"/>
    <s v="300-AO-1308-2022"/>
    <d v="2022-01-27T00:00:00"/>
    <n v="304164327"/>
    <s v="ODBI SAS"/>
    <m/>
    <n v="368885"/>
    <m/>
    <m/>
    <s v="N/A"/>
    <s v="N/A"/>
    <m/>
    <s v="PEREIRA"/>
    <s v="NACIONAL"/>
    <m/>
    <n v="1.2113128731588067E-3"/>
    <n v="1"/>
    <n v="1"/>
    <n v="10"/>
  </r>
  <r>
    <n v="67"/>
    <s v="0067"/>
    <s v="GUENAA"/>
    <d v="2022-01-18T00:00:00"/>
    <x v="1"/>
    <s v="GAA0630"/>
    <s v="FR-300-GAA-0017-2022"/>
    <s v="N/A"/>
    <s v="Reposición redes alcantarillado barrios La Fortaleza y Eucaristico"/>
    <n v="496893604"/>
    <s v="6 meses"/>
    <s v="900-IP-0100-2022"/>
    <m/>
    <n v="202201921"/>
    <n v="500000000"/>
    <s v="N/A"/>
    <s v="N/A"/>
    <m/>
    <x v="2"/>
    <s v="HAROLD MONDRAGON"/>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x v="2"/>
    <m/>
    <n v="16"/>
    <n v="14"/>
    <s v="G"/>
    <s v="INVERSION"/>
    <s v="300-AO-1334-2022"/>
    <d v="2022-01-27T00:00:00"/>
    <n v="496741956"/>
    <s v="PONTIFEX SAS"/>
    <m/>
    <n v="151648"/>
    <m/>
    <m/>
    <s v="N/A"/>
    <s v="N/A"/>
    <m/>
    <s v="CALI"/>
    <s v="LOCAL"/>
    <m/>
    <n v="3.0519209500631849E-4"/>
    <n v="1"/>
    <n v="1"/>
    <n v="12"/>
  </r>
  <r>
    <n v="68"/>
    <s v="0068"/>
    <s v="GUENAA"/>
    <d v="2022-01-18T00:00:00"/>
    <x v="1"/>
    <s v="GAA0160"/>
    <s v="FR-300-GAA-0018-2022"/>
    <s v="N/A"/>
    <s v="Reposición redes alcantarillado barrio El Bosque."/>
    <n v="453531324"/>
    <s v="6 meses"/>
    <s v="900-IP-0096-2022"/>
    <m/>
    <n v="202201919"/>
    <n v="455000000"/>
    <s v="N/A"/>
    <s v="N/A"/>
    <m/>
    <x v="2"/>
    <s v="HAROLD MONDRAGON"/>
    <d v="2022-01-20T00:00:00"/>
    <m/>
    <m/>
    <m/>
    <s v="Entregado al area"/>
    <x v="1"/>
    <s v="21 de enero en cotizaciones _x000a_24 DE ENERO EN ELABORACION DE LA FPA E INVITACION_x000a_26 DE ENERO EN RECEPCION DE OFERTAS_x000a_27 de enero en revision de la evaluacion"/>
    <m/>
    <d v="2022-02-16T00:00:00"/>
    <x v="2"/>
    <m/>
    <n v="29"/>
    <n v="27"/>
    <s v="G"/>
    <s v="INVERSION"/>
    <s v="300-AO-1422-2022"/>
    <d v="2022-01-27T00:00:00"/>
    <n v="453531324"/>
    <s v="4L INGENIERIA SAS"/>
    <m/>
    <n v="0"/>
    <m/>
    <m/>
    <s v="N/A"/>
    <s v="N/A"/>
    <m/>
    <s v="MONTERIA"/>
    <s v="NACIONAL"/>
    <m/>
    <n v="0"/>
    <n v="1"/>
    <n v="1"/>
    <n v="21"/>
  </r>
  <r>
    <n v="69"/>
    <s v="0069"/>
    <s v="GUENAA"/>
    <d v="2022-01-18T00:00:00"/>
    <x v="1"/>
    <s v="GAA0167"/>
    <s v="FR-300-GAA-0019-2022"/>
    <s v="N/A"/>
    <s v="Reposición redes tramos criticos sector La Campiña"/>
    <n v="285432098"/>
    <s v="6 meses"/>
    <s v="900-IP-0097-2022"/>
    <m/>
    <n v="202201923"/>
    <n v="290000000"/>
    <s v="N/A"/>
    <s v="N/A"/>
    <m/>
    <x v="2"/>
    <s v="JUAN PABLO QUIMBAYO"/>
    <d v="2022-01-20T00:00:00"/>
    <m/>
    <m/>
    <m/>
    <s v="Entregado al area"/>
    <x v="1"/>
    <s v="21 de enero en cotizaciones_x000a_24 DE ENERO EN INVITACION A OFERTAR_x000a_26 de enero en revision de la evaluacion _x000a_27 de enero en rp y polizas_x000a_"/>
    <m/>
    <d v="2022-02-04T00:00:00"/>
    <x v="2"/>
    <m/>
    <n v="17"/>
    <n v="15"/>
    <s v="G"/>
    <s v="INVERSION"/>
    <s v="300-AO-1324-2022"/>
    <d v="2022-01-27T00:00:00"/>
    <n v="279679505"/>
    <s v="HABILIDADES ESATRUCTURALES EN INGENIERIA  LTDA"/>
    <m/>
    <n v="5752593"/>
    <m/>
    <m/>
    <s v="N/A"/>
    <s v="N/A"/>
    <m/>
    <s v="BUENAVENTURA"/>
    <s v="REGIONAL"/>
    <m/>
    <n v="2.0153980720136109E-2"/>
    <n v="1"/>
    <n v="1"/>
    <n v="13"/>
  </r>
  <r>
    <n v="70"/>
    <s v="0070"/>
    <s v="GUENAA"/>
    <d v="2022-01-18T00:00:00"/>
    <x v="1"/>
    <s v="GAA0632"/>
    <s v="FR-300-GAA-0021-2022"/>
    <s v="N/A"/>
    <s v="Reposición redes tramos criticos alcantarillado barrio La Selva"/>
    <n v="488005726"/>
    <s v="6 meses"/>
    <s v="900-IP-0088-2022"/>
    <m/>
    <n v="202201925"/>
    <n v="495000000"/>
    <s v="N/A"/>
    <s v="N/A"/>
    <m/>
    <x v="2"/>
    <s v="VIAGNERY LOPEZ"/>
    <d v="2022-01-20T00:00:00"/>
    <m/>
    <m/>
    <m/>
    <s v="Entregado al area"/>
    <x v="1"/>
    <s v="24 de enero en invitacion a ofertar_x000a_26 de enero en aceptacion_x000a_27 de enero en solicitud de polizas y rp_x000a_2 DE FEBRERO ENTREGADO AL AREA"/>
    <m/>
    <d v="2022-02-02T00:00:00"/>
    <x v="2"/>
    <m/>
    <n v="15"/>
    <n v="13"/>
    <s v="G"/>
    <s v="INVERSION"/>
    <s v="300-AO-1318-2022"/>
    <d v="2022-01-27T00:00:00"/>
    <n v="487965113"/>
    <s v="MARIA CAMILA GONZALEZ"/>
    <m/>
    <n v="40613"/>
    <m/>
    <m/>
    <s v="N/A"/>
    <s v="N/A"/>
    <m/>
    <s v="CALI"/>
    <s v="LOCAL"/>
    <m/>
    <n v="8.3222384157025239E-5"/>
    <n v="1"/>
    <n v="1"/>
    <n v="11"/>
  </r>
  <r>
    <n v="71"/>
    <s v="0071"/>
    <s v="GUENAA"/>
    <d v="2022-01-18T00:00:00"/>
    <x v="1"/>
    <s v="GAA0159"/>
    <s v="FR-300-GAA-0022-2022"/>
    <s v="N/A"/>
    <s v="Reposición redes de acueducto y alcantarillado barrio Fepicol"/>
    <n v="347380623"/>
    <s v="6 meses"/>
    <s v="900-IP-0087-2022"/>
    <m/>
    <n v="202201922"/>
    <m/>
    <s v="N/A"/>
    <s v="N/A"/>
    <m/>
    <x v="2"/>
    <s v="VIAGNERY LOPEZ"/>
    <d v="2022-01-20T00:00:00"/>
    <m/>
    <m/>
    <m/>
    <s v="Entregado al area"/>
    <x v="1"/>
    <s v="21 DE ENERO EN REVISION DE LA FPA E INVITACION_x000a_24 de enero en invitacion a ofertar_x000a_26 de enero en aceptacion_x000a_27 de enero en solicitud de polizas y rp"/>
    <m/>
    <d v="2022-02-07T00:00:00"/>
    <x v="2"/>
    <m/>
    <n v="20"/>
    <n v="18"/>
    <s v="G"/>
    <s v="INVERSION"/>
    <s v="300-AO-1310-2022"/>
    <d v="2022-01-27T00:00:00"/>
    <n v="346499915"/>
    <s v="GIRONZA LOZANO EDUARDO"/>
    <m/>
    <n v="880708"/>
    <m/>
    <m/>
    <s v="N/A"/>
    <s v="N/A"/>
    <m/>
    <s v="CALI"/>
    <s v="LOCAL"/>
    <m/>
    <n v="2.5352824587455474E-3"/>
    <n v="1"/>
    <n v="1"/>
    <n v="14"/>
  </r>
  <r>
    <n v="72"/>
    <s v="0072"/>
    <s v="GUENAA"/>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03T00:00:00"/>
    <x v="2"/>
    <m/>
    <n v="14"/>
    <n v="14"/>
    <s v="G"/>
    <s v="INVERSION"/>
    <s v="300-AO-1335-2022"/>
    <d v="2022-01-27T00:00:00"/>
    <n v="243854800"/>
    <s v="ARMANDO LEON JIMENEZ"/>
    <m/>
    <n v="233421"/>
    <m/>
    <m/>
    <s v="N/A"/>
    <s v="N/A"/>
    <m/>
    <s v="CALI"/>
    <s v="LOCAL"/>
    <m/>
    <n v="9.5629768222203564E-4"/>
    <n v="1"/>
    <n v="1"/>
    <n v="10"/>
  </r>
  <r>
    <n v="73"/>
    <s v="0073"/>
    <s v="GUENAA"/>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s v="IVAN ALDANA"/>
    <d v="2022-01-21T00:00:00"/>
    <m/>
    <m/>
    <m/>
    <s v="Entregado al area"/>
    <x v="1"/>
    <s v="24 DE ENERO EN COTIZACIONES_x000a_26 de enero en revision de la fpa e invitacion_x000a_28 de enero en recepcion de ofertas"/>
    <m/>
    <d v="2022-02-15T00:00:00"/>
    <x v="2"/>
    <m/>
    <n v="26"/>
    <n v="25"/>
    <s v="G"/>
    <s v="FUNCIONAMIENTO"/>
    <s v="300-AO-1620-2022"/>
    <d v="2022-01-28T00:00:00"/>
    <n v="55499999"/>
    <s v="VE COLOMBIA SAS"/>
    <m/>
    <n v="0"/>
    <m/>
    <m/>
    <s v="N/A"/>
    <s v="N/A"/>
    <m/>
    <s v="MEDELLIN "/>
    <s v="NACIONAL"/>
    <m/>
    <n v="0"/>
    <n v="1"/>
    <n v="1"/>
    <n v="18"/>
  </r>
  <r>
    <n v="74"/>
    <s v="0074"/>
    <s v="GUENAA"/>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s v="JULIO GARCIA"/>
    <d v="2022-01-20T00:00:00"/>
    <m/>
    <m/>
    <m/>
    <s v="Entregado al area"/>
    <x v="1"/>
    <s v="21 de enero en solicitud de conceptos_x000a_24 de enero en recepcion de cotizaciones_x000a_26 DE ENERO EN ELABORACION DE LA  EVALUACION _x000a_28 de enero para firma de la aceptacion_x000a_"/>
    <m/>
    <d v="2022-02-07T00:00:00"/>
    <x v="2"/>
    <m/>
    <n v="18"/>
    <n v="18"/>
    <s v="G"/>
    <s v="FUNCIONAMIENTO"/>
    <s v="300-AO-1523-2022"/>
    <d v="2022-01-28T00:00:00"/>
    <n v="299483180"/>
    <s v="DBO INGENIERIA LTDA"/>
    <m/>
    <n v="33736400"/>
    <m/>
    <m/>
    <s v="N/A"/>
    <s v="N/A"/>
    <m/>
    <s v="ACOPI"/>
    <s v="YUMBO"/>
    <m/>
    <n v="0.10124375044227593"/>
    <n v="1"/>
    <n v="1"/>
    <n v="12"/>
  </r>
  <r>
    <n v="75"/>
    <s v="0075"/>
    <s v="GUENAA"/>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x v="2"/>
    <m/>
    <n v="15"/>
    <n v="15"/>
    <s v="G"/>
    <s v="FUNCIONAMIENTO"/>
    <s v="300-AO-1337-2022"/>
    <d v="2022-01-27T00:00:00"/>
    <n v="51766000"/>
    <s v="TALLERES BRIG LTDA"/>
    <m/>
    <n v="0"/>
    <m/>
    <m/>
    <s v="N/A"/>
    <s v="N/A"/>
    <m/>
    <s v="CALI"/>
    <s v="LOCAL"/>
    <m/>
    <n v="0"/>
    <n v="1"/>
    <n v="1"/>
    <n v="11"/>
  </r>
  <r>
    <n v="76"/>
    <s v="0076"/>
    <s v="GUENAA"/>
    <d v="2022-01-20T00:00:00"/>
    <x v="1"/>
    <s v="GAA0631"/>
    <s v="FR-300-GAA-0024-2022"/>
    <s v="N/A"/>
    <s v="Reposición redes alcantarillado barrio La Paz Comuna 02"/>
    <n v="130669738"/>
    <s v="6 meses"/>
    <s v="900-IP-0099-2022"/>
    <m/>
    <n v="202201924"/>
    <n v="13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s v="G"/>
    <s v="INVERSION"/>
    <s v="300-AO-1332-2022"/>
    <d v="2022-01-27T00:00:00"/>
    <n v="128331708"/>
    <s v="HABILIDADES ESATRUCTURALES EN INGENIERIA  LTDA"/>
    <m/>
    <n v="2338030"/>
    <m/>
    <m/>
    <s v="N/A"/>
    <s v="N/A"/>
    <m/>
    <s v="BUENAVENTURA"/>
    <s v="REGIONAL"/>
    <m/>
    <n v="1.789266616574987E-2"/>
    <n v="1"/>
    <n v="1"/>
    <n v="12"/>
  </r>
  <r>
    <n v="77"/>
    <s v="0077"/>
    <s v="GUENAA"/>
    <d v="2022-01-20T00:00:00"/>
    <x v="1"/>
    <s v="GAA0634"/>
    <s v="FR-300-GAA-0023-2022"/>
    <s v="N/A"/>
    <s v="Reposición redes alcantarillado barrios Navarro La Chanca"/>
    <n v="213249448"/>
    <s v="2 meses"/>
    <s v="900-IP-0097-2021"/>
    <m/>
    <n v="202201928"/>
    <n v="21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s v="G"/>
    <s v="INVERSION"/>
    <s v="300-AO-1331-2022"/>
    <d v="2022-01-27T00:00:00"/>
    <n v="210626684"/>
    <s v="PROYECTOS Y CONSTRUCCIONES DEL PACIFICO SAS"/>
    <m/>
    <n v="2622764"/>
    <m/>
    <m/>
    <s v="N/A"/>
    <s v="N/A"/>
    <m/>
    <s v="BUENAVENTURA"/>
    <s v="REGIONAL"/>
    <m/>
    <n v="1.2299042387204679E-2"/>
    <n v="1"/>
    <n v="1"/>
    <n v="12"/>
  </r>
  <r>
    <n v="78"/>
    <s v="0078"/>
    <s v="GUENAA"/>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s v="VIAGNERY LOPEZ"/>
    <d v="2022-01-20T00:00:00"/>
    <m/>
    <m/>
    <m/>
    <s v="Entregado al area"/>
    <x v="1"/>
    <s v="24 de enero en invitacion a ofertar_x000a_26 de enero en aceptacion_x000a_27 de enero en solicitud de polizas y rp"/>
    <m/>
    <d v="2022-02-08T00:00:00"/>
    <x v="2"/>
    <m/>
    <n v="19"/>
    <n v="19"/>
    <s v="G"/>
    <s v="FUNCIONAMIENTO"/>
    <s v="300-AO-1309-2022"/>
    <d v="2022-01-27T00:00:00"/>
    <n v="211031794"/>
    <s v="TECNISERICIOS DEL CENTRO DEL VALLE SAS"/>
    <m/>
    <n v="2008036"/>
    <m/>
    <m/>
    <s v="N/A"/>
    <s v="N/A"/>
    <m/>
    <s v="TULUA"/>
    <s v="REGIONAL"/>
    <m/>
    <n v="9.4256365112570725E-3"/>
    <n v="1"/>
    <n v="1"/>
    <n v="13"/>
  </r>
  <r>
    <n v="79"/>
    <s v="0079"/>
    <s v="GUENAA"/>
    <d v="2022-01-20T00:00:00"/>
    <x v="1"/>
    <s v="GAA0352"/>
    <s v="FR-300-GAA-0008-2022"/>
    <s v="N/A"/>
    <s v="Efectuar la limpieza por barrido de los Sumideros de la Ciudad de Cali"/>
    <n v="828849251"/>
    <s v="10 meses"/>
    <s v="900-IP-0104-2022"/>
    <m/>
    <n v="202200911"/>
    <n v="828850425"/>
    <s v="N/A"/>
    <s v="N/A"/>
    <m/>
    <x v="2"/>
    <s v="VIAGNERY LOPEZ"/>
    <d v="2022-01-20T00:00:00"/>
    <m/>
    <m/>
    <m/>
    <s v="Entregado al area"/>
    <x v="1"/>
    <s v="24 de enero en invitacion a ofertar_x000a_26 de enero en aceptacion_x000a_27 de enero en solicitud de polizas y rp"/>
    <m/>
    <d v="2022-02-02T00:00:00"/>
    <x v="2"/>
    <m/>
    <n v="13"/>
    <n v="13"/>
    <s v="M"/>
    <s v="FUNCIONAMIENTO"/>
    <s v="300-AO-1319-2022"/>
    <d v="2022-01-27T00:00:00"/>
    <n v="828709808"/>
    <s v="FUNDACION CENTRO ESPECIALIZADO EN SOLUCIONES Y ADMINISTRACION RECURSOS- FUNDACESAR"/>
    <m/>
    <n v="139443"/>
    <m/>
    <m/>
    <s v="N/A"/>
    <s v="N/A"/>
    <m/>
    <s v="CALI"/>
    <s v="LOCAL"/>
    <m/>
    <n v="1.6823686554794269E-4"/>
    <n v="1"/>
    <n v="1"/>
    <n v="9"/>
  </r>
  <r>
    <n v="80"/>
    <s v="0080"/>
    <s v="GUENAA"/>
    <d v="2022-01-20T00:00:00"/>
    <x v="1"/>
    <s v="GAA0354"/>
    <s v="FR-300-GAA-0006-2022"/>
    <s v="N/A"/>
    <s v="Mnatenimiento de las lagunas Charco Azul y El Pondaje."/>
    <n v="430492113"/>
    <s v="10 meses"/>
    <s v="900-IP-0085-2022"/>
    <m/>
    <n v="202200913"/>
    <n v="444639048"/>
    <s v="N/A"/>
    <s v="N/A"/>
    <m/>
    <x v="2"/>
    <s v="JUAN PABLO QUIMBAYO"/>
    <d v="2022-01-20T00:00:00"/>
    <m/>
    <m/>
    <m/>
    <s v="Entregado al area"/>
    <x v="1"/>
    <s v="21 de enero en cotizaciones_x000a_24 DE ENERO EN INVITACION A OFERTAR_x000a_26 de enero para firma de la aceptacion de la oferta_x000a_27 de enero en Rp y polizas"/>
    <m/>
    <d v="2022-02-04T00:00:00"/>
    <x v="2"/>
    <m/>
    <n v="15"/>
    <n v="15"/>
    <s v="G"/>
    <s v="G"/>
    <s v="300-AO-1329-2022"/>
    <d v="2022-01-27T00:00:00"/>
    <n v="430491890"/>
    <s v="FUNDACION CENTRO ESPECIALIZADO EN SOLUCIONES Y ADMINISTRACION RECURSOS- FUNDACESAR"/>
    <m/>
    <n v="223"/>
    <m/>
    <m/>
    <s v="N/A"/>
    <s v="N/A"/>
    <m/>
    <s v="CALI"/>
    <s v="LOCAL"/>
    <m/>
    <n v="5.1801181314557556E-7"/>
    <n v="1"/>
    <n v="1"/>
    <n v="11"/>
  </r>
  <r>
    <n v="81"/>
    <s v="0081"/>
    <s v="GUENAA"/>
    <d v="2022-01-20T00:00:00"/>
    <x v="1"/>
    <s v="GAA0353"/>
    <s v="FR-300-GAA-0009-2022"/>
    <s v="N/A"/>
    <s v="Efectuar el aseo y limpieza de canales a mano de la ciudad de Cali."/>
    <n v="553875968"/>
    <s v="10 meses"/>
    <s v="900-IP-0084-2022"/>
    <m/>
    <n v="202200912"/>
    <n v="553885500"/>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10T00:00:00"/>
    <x v="2"/>
    <m/>
    <n v="21"/>
    <n v="21"/>
    <s v="M"/>
    <s v="FUNCIONAMIENTO"/>
    <s v="300-AO-1315-2022"/>
    <d v="2022-01-27T00:00:00"/>
    <n v="553859106"/>
    <s v="FUNDACION CALI BRILLA SOL Y LUNA ONG"/>
    <m/>
    <n v="16862"/>
    <m/>
    <m/>
    <s v="N/A"/>
    <s v="N/A"/>
    <m/>
    <s v="CALI"/>
    <s v="LOCAL"/>
    <m/>
    <n v="3.0443638962866141E-5"/>
    <n v="1"/>
    <n v="1"/>
    <n v="15"/>
  </r>
  <r>
    <n v="82"/>
    <s v="0082"/>
    <s v="GUENE"/>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s v="LAURA PIMIENTA"/>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x v="2"/>
    <m/>
    <n v="19"/>
    <n v="18"/>
    <s v="C"/>
    <s v="OPERACIÓN"/>
    <s v="500-AO-1473-2022"/>
    <d v="2022-01-28T00:00:00"/>
    <n v="1479300867"/>
    <s v="ELECTRO SOFTWARE SAS BIC"/>
    <m/>
    <n v="500"/>
    <m/>
    <m/>
    <s v="N/A"/>
    <s v="N/A"/>
    <m/>
    <s v="BU1CARAMANGA"/>
    <s v="NACIONAL"/>
    <m/>
    <n v="3.3799738927706944E-7"/>
    <n v="1"/>
    <n v="1"/>
    <n v="13"/>
  </r>
  <r>
    <n v="83"/>
    <s v="0083"/>
    <s v="GUENE"/>
    <d v="2022-01-20T00:00:00"/>
    <x v="1"/>
    <s v="GE0229"/>
    <s v="FR-500-GE-0123-2022"/>
    <s v="N/A"/>
    <s v="Suministro de Fusibles de T de Media Tension."/>
    <n v="27612284"/>
    <m/>
    <s v="900-IP-0111-2022"/>
    <s v="IP-"/>
    <n v="202201998"/>
    <m/>
    <s v="N/A"/>
    <s v="N/A"/>
    <s v="N/A"/>
    <x v="2"/>
    <s v="SILVIA GALINDO"/>
    <d v="2022-01-20T00:00:00"/>
    <e v="#VALUE!"/>
    <e v="#VALUE!"/>
    <s v="NO"/>
    <s v="Devuelto"/>
    <x v="2"/>
    <m/>
    <s v="24 DE ENERO EN COTIZACIONES_x000a_26 de enero en elaboracion de fpa e invitacion_x000a_28 DE ENERO EN ELABORACION DE LA FPA"/>
    <d v="2022-01-28T00:00:00"/>
    <x v="5"/>
    <s v="ene"/>
    <n v="8"/>
    <n v="8"/>
    <s v="G"/>
    <s v="FUNCIONAMIENTO"/>
    <m/>
    <m/>
    <m/>
    <m/>
    <m/>
    <n v="27612284"/>
    <m/>
    <m/>
    <m/>
    <m/>
    <m/>
    <m/>
    <m/>
    <m/>
    <m/>
    <n v="1"/>
    <m/>
    <m/>
  </r>
  <r>
    <n v="84"/>
    <s v="0084"/>
    <s v="GUENAA"/>
    <d v="2022-01-21T00:00:00"/>
    <x v="1"/>
    <s v="GAA0640"/>
    <s v="FR-300-GAA-0020-2022"/>
    <s v="N/A"/>
    <s v="Reposición redes alcantarillado barrio La Merced"/>
    <n v="492062894"/>
    <s v="6 meses"/>
    <s v="900-IP-0122-2022"/>
    <m/>
    <n v="202201920"/>
    <n v="495000000"/>
    <s v="N/A"/>
    <s v="N/A"/>
    <m/>
    <x v="2"/>
    <s v="VIAGNERY LOPEZ"/>
    <d v="2022-01-21T00:00:00"/>
    <m/>
    <m/>
    <m/>
    <s v="Entregado al area"/>
    <x v="1"/>
    <s v="24 de enero en invitacion a ofertar_x000a_26 de enero en aceptacion_x000a_27 de enero en solicitud de polizas y rp"/>
    <m/>
    <d v="2022-02-03T00:00:00"/>
    <x v="2"/>
    <m/>
    <n v="13"/>
    <n v="13"/>
    <s v="G"/>
    <s v="INVERSION"/>
    <s v="300-AO-1320-2022"/>
    <d v="2022-01-27T00:00:00"/>
    <n v="488670524"/>
    <s v="CMO CONTRATISTAS MANO DE OBRA SAS"/>
    <m/>
    <n v="3392370"/>
    <m/>
    <m/>
    <m/>
    <m/>
    <m/>
    <s v="CALI"/>
    <s v="LOCAL"/>
    <m/>
    <n v="6.8941796696419871E-3"/>
    <n v="1"/>
    <n v="1"/>
    <n v="9"/>
  </r>
  <r>
    <n v="85"/>
    <s v="0085"/>
    <s v="GAGHA"/>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s v="LEIDY DIANA FRANCO"/>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x v="5"/>
    <s v="ene"/>
    <n v="7"/>
    <n v="2"/>
    <s v="G"/>
    <s v="FUNCIONAMIENTO"/>
    <m/>
    <m/>
    <m/>
    <m/>
    <m/>
    <n v="500000000"/>
    <m/>
    <m/>
    <m/>
    <m/>
    <m/>
    <m/>
    <m/>
    <m/>
    <m/>
    <n v="0"/>
    <m/>
    <m/>
  </r>
  <r>
    <n v="86"/>
    <s v="0086"/>
    <s v="GUENAA"/>
    <d v="2022-01-21T00:00:00"/>
    <x v="1"/>
    <s v="GAA0345"/>
    <s v="FR-300-GAA-0032-2022"/>
    <s v="N/A"/>
    <s v="Monitoreo de vertimientos finales al sistema de drenaje de la ciudad de Cali."/>
    <n v="369071937"/>
    <s v="240 dias"/>
    <s v="900-IP-0127-2022"/>
    <m/>
    <n v="202201968"/>
    <n v="37110000"/>
    <s v="N/A"/>
    <s v="N/A"/>
    <m/>
    <x v="2"/>
    <s v="JULIO GARCIA"/>
    <d v="2022-01-21T00:00:00"/>
    <m/>
    <m/>
    <m/>
    <s v="Entregado al area"/>
    <x v="1"/>
    <s v="24 de enero en recepcion de cotizaciones_x000a_26 DE ENERO EN ELABORACION DE LA  EVALUACION _x000a_28 de enero para firma de la aceptacion"/>
    <m/>
    <d v="2022-02-07T00:00:00"/>
    <x v="2"/>
    <m/>
    <n v="17"/>
    <n v="17"/>
    <s v="G"/>
    <s v="FUNCIONAMIENTO"/>
    <s v="300-AO-1524-2022"/>
    <d v="2022-01-26T00:00:00"/>
    <n v="358665166"/>
    <s v="DBO INGENIERIA LTDA"/>
    <m/>
    <n v="10406771"/>
    <m/>
    <m/>
    <s v="N/A"/>
    <s v="N//A"/>
    <m/>
    <s v="ACOPI"/>
    <s v="MUNICIPAL"/>
    <m/>
    <n v="2.8197134370582067E-2"/>
    <n v="1"/>
    <n v="1"/>
    <n v="11"/>
  </r>
  <r>
    <n v="87"/>
    <s v="0087"/>
    <s v="GUENT"/>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s v="ANA MARIA GIL"/>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x v="2"/>
    <m/>
    <n v="19"/>
    <n v="19"/>
    <s v="G"/>
    <s v="FUNCIONAMIENTO"/>
    <s v="400-AO-1376-2022"/>
    <d v="2022-01-27T00:00:00"/>
    <n v="143641925"/>
    <s v="SUMINISTROS Y SERVICIOS TECNICOS SOCIEDAD  POR ACCIONES SIMPLICADA SAS"/>
    <m/>
    <n v="119075"/>
    <m/>
    <m/>
    <m/>
    <m/>
    <m/>
    <s v="CALI"/>
    <s v="LOCAL"/>
    <m/>
    <n v="8.2828444432078241E-4"/>
    <n v="1"/>
    <n v="1"/>
    <n v="13"/>
  </r>
  <r>
    <n v="88"/>
    <s v="0088"/>
    <s v="GUENE"/>
    <d v="2022-01-24T00:00:00"/>
    <x v="1"/>
    <s v="GE0298"/>
    <s v="FR-500-GE-0109-2022"/>
    <s v="N/A"/>
    <s v="Suministro de Medidores de Energía Electronicos Monofasico-Bifasico-Trifasico para Medida Directa."/>
    <n v="399937342"/>
    <s v="120 dias"/>
    <s v="900-IP-0125-2022"/>
    <m/>
    <n v="202202112"/>
    <n v="399937342"/>
    <s v="N/A"/>
    <s v="N/A"/>
    <m/>
    <x v="2"/>
    <s v="JUAN PABLO QUIMBAYO"/>
    <d v="2022-01-24T00:00:00"/>
    <m/>
    <m/>
    <m/>
    <s v="Entregado al area"/>
    <x v="1"/>
    <s v="26 de enero en revision de la  evaluacion_x000a_27 de enero en Rp y polizas"/>
    <m/>
    <d v="2022-02-09T00:00:00"/>
    <x v="2"/>
    <m/>
    <n v="16"/>
    <n v="16"/>
    <s v="G"/>
    <s v="OPERACIÓN"/>
    <s v="500-AO-1323-2022"/>
    <d v="2022-01-27T00:00:00"/>
    <n v="399912352"/>
    <s v="INDUSTRIAL ELECTRICA DEL CAUCA SAS"/>
    <m/>
    <n v="24990"/>
    <m/>
    <m/>
    <s v="2021-392"/>
    <d v="2022-01-04T00:00:00"/>
    <m/>
    <s v="CALI"/>
    <s v="LOCAL"/>
    <m/>
    <n v="6.2484787929605235E-5"/>
    <n v="1"/>
    <n v="1"/>
    <n v="12"/>
  </r>
  <r>
    <n v="89"/>
    <s v="0089"/>
    <s v="GUENE"/>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s v="JUAN PABLO QUIMBAYO"/>
    <d v="2022-01-24T00:00:00"/>
    <m/>
    <m/>
    <m/>
    <s v="Entregado al area"/>
    <x v="1"/>
    <s v="26 de enero en revision de la  evaluacion_x000a_27 de enero en Rp y polizas"/>
    <m/>
    <d v="2022-02-03T00:00:00"/>
    <x v="2"/>
    <m/>
    <n v="10"/>
    <n v="10"/>
    <s v="G"/>
    <s v="INVERSION"/>
    <s v="500-AO-1333-2022"/>
    <d v="2022-01-27T00:00:00"/>
    <n v="485124920"/>
    <s v="POTENCIA Y TECNOLOGIAS INCORPORADAS SA"/>
    <m/>
    <n v="13962665"/>
    <m/>
    <m/>
    <m/>
    <m/>
    <m/>
    <s v="CALI"/>
    <s v="LOCAL"/>
    <m/>
    <n v="2.7976382141423135E-2"/>
    <n v="1"/>
    <n v="1"/>
    <n v="8"/>
  </r>
  <r>
    <n v="90"/>
    <s v="0090"/>
    <s v="GUENT"/>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s v="MARIO AREVALO"/>
    <d v="2022-01-21T00:00:00"/>
    <m/>
    <m/>
    <m/>
    <s v="Entregado al area"/>
    <x v="1"/>
    <s v="26 DE ENERO EN REVISION DE LA INVITACION Y FPA_x000a_28 DE ENERO EN REVISION DE LA EVALUACION"/>
    <m/>
    <d v="2022-02-11T00:00:00"/>
    <x v="2"/>
    <m/>
    <n v="21"/>
    <n v="21"/>
    <s v="C"/>
    <s v="INVERSION"/>
    <s v="400-AO-1470-2022"/>
    <d v="2022-01-28T00:00:00"/>
    <n v="399966126"/>
    <s v="COLBITS SAS"/>
    <m/>
    <n v="0"/>
    <m/>
    <m/>
    <s v="N/A"/>
    <s v="N/A"/>
    <m/>
    <s v="CALI"/>
    <s v="LOCAL"/>
    <m/>
    <n v="0"/>
    <n v="1"/>
    <n v="1"/>
    <n v="15"/>
  </r>
  <r>
    <n v="91"/>
    <s v="0091"/>
    <s v="GUENE"/>
    <d v="2022-01-24T00:00:00"/>
    <x v="1"/>
    <s v="GE0256"/>
    <s v="FR-500-GE-0128-2022"/>
    <s v="N/A"/>
    <s v="Realizar mediciones ambientales de ruido y de campos electromagnéticos en subestaciones de energía y lineas de Subtransmisión a 115 Kv."/>
    <n v="26610066"/>
    <m/>
    <s v="900-IP-0136-2022"/>
    <s v="IP-"/>
    <n v="202202106"/>
    <m/>
    <s v="N/A"/>
    <s v="N/A"/>
    <s v="N/A"/>
    <x v="2"/>
    <s v="JHON LARRY "/>
    <d v="2022-01-24T00:00:00"/>
    <e v="#VALUE!"/>
    <e v="#VALUE!"/>
    <s v="NO"/>
    <s v="Devuelto"/>
    <x v="2"/>
    <m/>
    <s v="26 DE ENERO EN COTIZACIONES_x000a_28 de enero en solicitud de cotizaciones "/>
    <d v="2022-02-17T00:00:00"/>
    <x v="5"/>
    <s v="feb"/>
    <n v="24"/>
    <n v="24"/>
    <s v="G"/>
    <s v="FUNCIONAMIENTO"/>
    <m/>
    <m/>
    <m/>
    <m/>
    <m/>
    <n v="26610066"/>
    <m/>
    <m/>
    <m/>
    <m/>
    <m/>
    <m/>
    <m/>
    <m/>
    <m/>
    <n v="1"/>
    <m/>
    <m/>
  </r>
  <r>
    <n v="92"/>
    <s v="0092"/>
    <s v="GUENE"/>
    <d v="2022-01-24T00:00:00"/>
    <x v="1"/>
    <s v="GE0305"/>
    <s v="FR-500-GE-0118-2022"/>
    <s v="N/A"/>
    <s v="Suministro de CONECTORES Y condiciones  técnicas. GRAPAS"/>
    <n v="70583125"/>
    <s v="31 de diciembre 2022"/>
    <s v="_x000a_900-IP-0157-2021_x000a_"/>
    <m/>
    <n v="202201916"/>
    <n v="152821240"/>
    <s v="N/A"/>
    <s v="N/A"/>
    <m/>
    <x v="2"/>
    <s v="LINA ECHAVARRIA"/>
    <d v="2022-01-24T00:00:00"/>
    <m/>
    <m/>
    <m/>
    <s v="Entregado al area"/>
    <x v="1"/>
    <s v="26 DE ENERO EN ELABORACION DE LA FPA E INVITACION_x000a_28 DE ENERO EN REVISION DE LA INVITACION "/>
    <m/>
    <d v="2022-02-08T00:00:00"/>
    <x v="2"/>
    <m/>
    <n v="15"/>
    <n v="15"/>
    <s v="G"/>
    <s v="OPERACIÓN_x000a_FUNCIONAMIENTO_x000a_INVERSION"/>
    <s v="500-AO-1508-2022"/>
    <d v="2022-01-28T00:00:00"/>
    <n v="70583125"/>
    <s v="ELECTRICOS DEL VALLE SA"/>
    <m/>
    <n v="0"/>
    <m/>
    <m/>
    <s v="2022-024"/>
    <d v="2022-01-19T00:00:00"/>
    <m/>
    <s v="CALI"/>
    <s v="LOCAL"/>
    <m/>
    <n v="0"/>
    <n v="1"/>
    <n v="1"/>
    <n v="11"/>
  </r>
  <r>
    <n v="93"/>
    <s v="0093"/>
    <s v="GAGHA"/>
    <d v="2022-01-24T00:00:00"/>
    <x v="1"/>
    <s v="GHA0013"/>
    <s v="FR-800-GAGHA-0080-2022"/>
    <s v="N/A"/>
    <s v="Elaborar y entregar recordatorios y botones fundidos y grabados con el logo de EMCALI EICE ESP."/>
    <n v="13301761"/>
    <m/>
    <m/>
    <s v=""/>
    <n v="202201822"/>
    <m/>
    <s v="N/A"/>
    <s v="N/A"/>
    <s v="N/A"/>
    <x v="3"/>
    <s v="MARIO AREVALO"/>
    <d v="2022-01-24T00:00:00"/>
    <e v="#VALUE!"/>
    <e v="#VALUE!"/>
    <s v="NO"/>
    <s v="Devuelto"/>
    <x v="2"/>
    <m/>
    <s v="26 DE ENERO EN REVISION DE LA INVITACION Y FPA_x000a_28 DE ENERO EN REVISION DE LA INVITACION"/>
    <d v="2022-01-28T00:00:00"/>
    <x v="5"/>
    <s v="ene"/>
    <n v="4"/>
    <n v="4"/>
    <s v="G"/>
    <s v="FUNCIONAMIENTO"/>
    <m/>
    <m/>
    <m/>
    <m/>
    <m/>
    <n v="13301761"/>
    <m/>
    <m/>
    <m/>
    <m/>
    <m/>
    <m/>
    <m/>
    <m/>
    <m/>
    <n v="0"/>
    <m/>
    <m/>
  </r>
  <r>
    <n v="94"/>
    <s v="0094"/>
    <s v="GTI"/>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s v="PABLO CAICEDO"/>
    <d v="2022-01-24T00:00:00"/>
    <m/>
    <m/>
    <m/>
    <s v="Entregado al area"/>
    <x v="1"/>
    <s v="26 de enero en recepcion de ofertas_x000a_28 DE ENERO EN ELABORACION DE LA EVALUACION"/>
    <m/>
    <d v="2022-02-11T00:00:00"/>
    <x v="2"/>
    <m/>
    <n v="18"/>
    <n v="18"/>
    <s v="G"/>
    <s v="FUNCIONAMIENTO"/>
    <s v="200-AO-1516-2022"/>
    <d v="2022-01-28T00:00:00"/>
    <n v="294000000"/>
    <s v="NEURO MEDIA SAS"/>
    <m/>
    <n v="6000000"/>
    <m/>
    <m/>
    <s v="N/A"/>
    <s v="N/A"/>
    <m/>
    <s v="CALI"/>
    <s v="LOCAL"/>
    <m/>
    <n v="0.02"/>
    <n v="0"/>
    <n v="1"/>
    <n v="14"/>
  </r>
  <r>
    <n v="95"/>
    <s v="0095"/>
    <s v="GTI"/>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s v="PABLO CAICEDO"/>
    <d v="2022-01-21T00:00:00"/>
    <m/>
    <m/>
    <m/>
    <s v="Entregado al area"/>
    <x v="1"/>
    <s v="26 de enero en recepcion de ofertas_x000a_28 DE ENERO EN ELABORACION DE LA EVALUACION_x000a_solicitud de numeracion"/>
    <m/>
    <d v="2022-02-08T00:00:00"/>
    <x v="2"/>
    <m/>
    <n v="18"/>
    <n v="18"/>
    <s v="G"/>
    <s v="FUNCIONAMIENTO"/>
    <s v="200-AO-1517-2022"/>
    <d v="2022-01-28T00:00:00"/>
    <n v="264903916"/>
    <s v="SUNTIC SAS"/>
    <m/>
    <n v="1"/>
    <m/>
    <m/>
    <s v="N/A"/>
    <s v="N/A"/>
    <m/>
    <s v="CALI"/>
    <s v="LOCAL"/>
    <m/>
    <n v="3.7749536183717509E-9"/>
    <n v="0"/>
    <n v="1"/>
    <n v="12"/>
  </r>
  <r>
    <n v="96"/>
    <s v="0096"/>
    <s v="GTI"/>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s v="PABLO CAICEDO"/>
    <d v="2022-01-21T00:00:00"/>
    <m/>
    <m/>
    <m/>
    <s v="Entregado al area"/>
    <x v="1"/>
    <s v="26 de enero para la revision de la fpa e invitacion_x000a_28 DE ENERO EN EVALUACION"/>
    <m/>
    <d v="2022-02-08T00:00:00"/>
    <x v="2"/>
    <m/>
    <n v="18"/>
    <n v="18"/>
    <s v="G"/>
    <s v="FUNCIONAMIENTO"/>
    <s v="200-AO-1518-2022"/>
    <d v="2022-01-28T00:00:00"/>
    <n v="482264000"/>
    <s v="OPTIMAL TECHNOLOGY SAS"/>
    <m/>
    <n v="17726420"/>
    <m/>
    <m/>
    <s v="N/A"/>
    <s v="N/A"/>
    <m/>
    <s v="CALI"/>
    <s v="LOCAL"/>
    <m/>
    <n v="3.5453519289429587E-2"/>
    <n v="0"/>
    <n v="1"/>
    <n v="12"/>
  </r>
  <r>
    <n v="97"/>
    <s v="0097"/>
    <s v="GTI"/>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s v="PABLO CAICEDO"/>
    <d v="2022-01-21T00:00:00"/>
    <m/>
    <m/>
    <m/>
    <s v="Entregado al area"/>
    <x v="1"/>
    <s v="26 de enero para firma de la aceptacion de la oferta_x000a_28 DE ENERO EN RP Y POLIZAS"/>
    <m/>
    <d v="2022-02-07T00:00:00"/>
    <x v="2"/>
    <m/>
    <n v="17"/>
    <n v="17"/>
    <s v="C"/>
    <s v="FUNCIONAMIENTO"/>
    <s v="200-AO-1339-2022"/>
    <d v="2022-01-27T00:00:00"/>
    <n v="940997260"/>
    <s v="COLBITS SAS"/>
    <m/>
    <n v="2740"/>
    <m/>
    <m/>
    <s v="N/A"/>
    <s v="N/A"/>
    <m/>
    <s v="CALI"/>
    <s v="LOCAL"/>
    <m/>
    <n v="2.9117959617428266E-6"/>
    <n v="0"/>
    <n v="1"/>
    <n v="11"/>
  </r>
  <r>
    <n v="98"/>
    <s v="0098"/>
    <s v="GTI"/>
    <d v="2022-01-21T00:00:00"/>
    <x v="1"/>
    <s v="GTI0026_x000a_GTI0047"/>
    <s v="FR-200-GTI-0072-2022"/>
    <s v="N/A"/>
    <s v="Servicio en la Nube (SAAS) de los aplicativos ARIBA Y SUCCES FACTOR."/>
    <n v="808425155"/>
    <s v="60 dias"/>
    <s v="900-IP-0148-2022"/>
    <m/>
    <s v="202201948_x000a_202201950"/>
    <n v="808425155"/>
    <s v="N/A"/>
    <s v="N/A"/>
    <m/>
    <x v="2"/>
    <s v="PABLO CAICEDO"/>
    <d v="2022-01-21T00:00:00"/>
    <m/>
    <m/>
    <m/>
    <s v="Entregado al area"/>
    <x v="1"/>
    <s v="26 DE ENERO EN COTIZACIONES_x000a_28 DE ENERO EN RECEPCION DE OFERTAS"/>
    <m/>
    <d v="2022-02-10T00:00:00"/>
    <x v="2"/>
    <m/>
    <n v="20"/>
    <n v="20"/>
    <s v="C"/>
    <s v="FUNCIONAMIENTO"/>
    <s v="200-AO-1520-2022"/>
    <d v="2022-01-28T00:00:00"/>
    <n v="808425138"/>
    <s v="SAP COLOMBIA SAS"/>
    <m/>
    <n v="17"/>
    <m/>
    <m/>
    <s v="N/A"/>
    <s v="N/A"/>
    <m/>
    <s v="BOGOTA"/>
    <s v="NACIONAL"/>
    <m/>
    <n v="2.1028539123080602E-8"/>
    <n v="0"/>
    <n v="1"/>
    <n v="14"/>
  </r>
  <r>
    <n v="99"/>
    <s v="0099"/>
    <s v="GTI"/>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s v="PABLO CAICEDO"/>
    <d v="2022-01-21T00:00:00"/>
    <m/>
    <m/>
    <m/>
    <s v="Entregado al area"/>
    <x v="1"/>
    <s v="26 de enero en recepcion de ofertas"/>
    <m/>
    <d v="2022-02-08T00:00:00"/>
    <x v="2"/>
    <m/>
    <n v="18"/>
    <n v="18"/>
    <s v="C"/>
    <s v="FUNCIONAMIENTO"/>
    <s v="200-AO-1514-2022"/>
    <d v="2022-01-28T00:00:00"/>
    <n v="348700000"/>
    <s v="ANDINA LIFE SAS"/>
    <m/>
    <n v="998036"/>
    <m/>
    <m/>
    <s v="N/A"/>
    <s v="N/A"/>
    <m/>
    <s v="BOGOTA"/>
    <s v="NACIONAL"/>
    <m/>
    <n v="2.8539937238881148E-3"/>
    <n v="0"/>
    <n v="1"/>
    <n v="12"/>
  </r>
  <r>
    <n v="100"/>
    <s v="0100"/>
    <s v="GTI"/>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s v="PABLO CAICEDO"/>
    <d v="2022-01-24T00:00:00"/>
    <m/>
    <m/>
    <m/>
    <s v="Entregado al area"/>
    <x v="1"/>
    <s v="26 DE ENERO EN ELABORACION DE LA FPA E INVITACION_x000a_28 DE ENERO EN ELBOTACION DE LA EVALUACION"/>
    <m/>
    <d v="2022-02-08T00:00:00"/>
    <x v="2"/>
    <m/>
    <n v="15"/>
    <n v="15"/>
    <s v="G"/>
    <s v="FUNCIONAMIENTO"/>
    <s v="200-AO-1519-2021"/>
    <d v="2022-01-28T00:00:00"/>
    <n v="447814074"/>
    <s v="GRUPOSIT SAS"/>
    <m/>
    <n v="2185926"/>
    <m/>
    <m/>
    <s v="N/A"/>
    <s v="N/A"/>
    <m/>
    <s v="CALI"/>
    <s v="LOCAL"/>
    <m/>
    <n v="4.8576133333333334E-3"/>
    <n v="0"/>
    <n v="1"/>
    <n v="11"/>
  </r>
  <r>
    <n v="101"/>
    <s v="0101"/>
    <s v="GAGHA"/>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s v="ANA MARIA GIL"/>
    <d v="2022-01-25T00:00:00"/>
    <m/>
    <m/>
    <m/>
    <s v="Entregado al area"/>
    <x v="1"/>
    <s v="26 de enero en recepcion de ofertas_x000a_278 de enero en evaluacion"/>
    <m/>
    <d v="2022-02-14T00:00:00"/>
    <x v="2"/>
    <m/>
    <n v="20"/>
    <n v="20"/>
    <s v="G"/>
    <s v="INVERSION"/>
    <s v="800-AO-1471-2022"/>
    <d v="2022-01-28T00:00:00"/>
    <n v="330227598"/>
    <s v="4L INGENIERIA SAS"/>
    <m/>
    <n v="5168189"/>
    <m/>
    <m/>
    <s v="N/A"/>
    <s v="N/A"/>
    <m/>
    <s v="MONTERIA"/>
    <s v="NACIONAL"/>
    <m/>
    <n v="1.5409224564886977E-2"/>
    <n v="0"/>
    <n v="1"/>
    <n v="14"/>
  </r>
  <r>
    <n v="102"/>
    <s v="0102"/>
    <s v="GUENE"/>
    <d v="2022-01-25T00:00:00"/>
    <x v="1"/>
    <s v="GE0310"/>
    <s v="FR-500-GE-0159-2022"/>
    <s v="N/A"/>
    <s v="Alquiler de una (1) Unidad Sanitaria Portatil (USP) con lavamanos en la Subestación Alferez"/>
    <n v="9282000"/>
    <s v="31 de diciembre 2022"/>
    <s v="900-IP-0138-2022"/>
    <m/>
    <n v="202202211"/>
    <n v="9282000"/>
    <s v="N/A"/>
    <s v="N/A"/>
    <m/>
    <x v="2"/>
    <s v="PAOLA BELTRAN"/>
    <d v="2022-01-25T00:00:00"/>
    <m/>
    <m/>
    <m/>
    <s v="Entregado al area"/>
    <x v="1"/>
    <s v="26 DE ENERO EN COTIZACIONES_x000a_28 DE ENERO EN INVITACION A OFERTAR_x000a_28 de enero en revision de la evaluacion"/>
    <m/>
    <d v="2022-02-11T00:00:00"/>
    <x v="2"/>
    <m/>
    <n v="17"/>
    <n v="17"/>
    <s v="G"/>
    <s v="FUNCIONAMIENTO"/>
    <s v="500-AO-1509-2022"/>
    <d v="2022-01-28T00:00:00"/>
    <n v="9281988"/>
    <s v="VC SAFETY COLOMBIA SAS"/>
    <m/>
    <n v="12"/>
    <m/>
    <m/>
    <s v="N/A"/>
    <s v="N/A"/>
    <m/>
    <s v="CALI"/>
    <s v="LOCAL"/>
    <m/>
    <n v="1.2928248222365869E-6"/>
    <n v="1"/>
    <n v="1"/>
    <n v="13"/>
  </r>
  <r>
    <n v="103"/>
    <s v="0103"/>
    <s v="GUENAA"/>
    <d v="2022-01-25T00:00:00"/>
    <x v="1"/>
    <s v="GAA0256"/>
    <s v="FR-300-GAA-0033-2022"/>
    <s v="N/A"/>
    <s v="Mantenimiento a sistema variador de velocidad PTAP Puerto Mallarino"/>
    <n v="120000000"/>
    <s v="2 meses"/>
    <s v="900-IP-0141-2022"/>
    <m/>
    <n v="202200889"/>
    <n v="120000000"/>
    <s v="N/A"/>
    <s v="N/A"/>
    <m/>
    <x v="2"/>
    <s v="VIAGNERY LOPEZ"/>
    <d v="2022-01-25T00:00:00"/>
    <m/>
    <m/>
    <m/>
    <s v="Entregado al area"/>
    <x v="1"/>
    <s v="26 de enero en recepcion de ofertas_x000a_27 de enero en solicitud de polizas y rp"/>
    <m/>
    <d v="2022-02-24T00:00:00"/>
    <x v="2"/>
    <m/>
    <n v="30"/>
    <n v="30"/>
    <s v="C"/>
    <s v="FUNCIONAMIENTO"/>
    <s v="300-AO-1364-2022"/>
    <d v="2022-01-27T00:00:00"/>
    <n v="120000000"/>
    <s v="ABB COLOMBIA LTDA"/>
    <m/>
    <n v="0"/>
    <m/>
    <m/>
    <s v="N/A"/>
    <s v="N/A"/>
    <m/>
    <s v="BOGOTA"/>
    <s v="NACIONAL"/>
    <m/>
    <n v="0"/>
    <n v="1"/>
    <n v="1"/>
    <n v="22"/>
  </r>
  <r>
    <n v="104"/>
    <s v="0104"/>
    <s v="GUENE"/>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s v="JHON LARRY "/>
    <d v="2022-01-26T00:00:00"/>
    <m/>
    <m/>
    <m/>
    <s v="Entregado al area"/>
    <x v="1"/>
    <s v="26 DE ENERO EN COTIZACIONES_x000a_28 de enero en recepion de ofertas_x000a_REVISION EVALUACION"/>
    <m/>
    <d v="2022-02-14T00:00:00"/>
    <x v="2"/>
    <m/>
    <n v="19"/>
    <n v="19"/>
    <s v="G"/>
    <s v="FUNCIONAMIENTO"/>
    <s v="500-AO-1522-2022"/>
    <d v="2022-01-28T00:00:00"/>
    <n v="7937249"/>
    <s v="SERCO SRVICIO Y SUMINISTRO QUIMICO LTDA"/>
    <m/>
    <n v="0"/>
    <m/>
    <m/>
    <s v="N/A"/>
    <s v="N/A"/>
    <m/>
    <s v="BOGOTA"/>
    <s v="NACIONAL"/>
    <m/>
    <n v="0"/>
    <n v="1"/>
    <n v="1"/>
    <n v="13"/>
  </r>
  <r>
    <n v="105"/>
    <s v="0105"/>
    <s v="GUENE"/>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s v="JUAN PABLO QUIMBAYO"/>
    <d v="2022-01-26T00:00:00"/>
    <m/>
    <m/>
    <m/>
    <s v="Entregado al area"/>
    <x v="1"/>
    <s v="26 de enero en cotizaciones_x000a_27 de enero en recepcion de ofertas"/>
    <m/>
    <d v="2022-02-04T00:00:00"/>
    <x v="2"/>
    <m/>
    <n v="9"/>
    <n v="9"/>
    <s v="G"/>
    <s v="FUNCIONAMIENTO"/>
    <s v="500-AO-1455-2022"/>
    <d v="2022-01-28T00:00:00"/>
    <n v="198881517"/>
    <s v="TMI DE COLOMBIALTDA"/>
    <m/>
    <n v="718701"/>
    <m/>
    <m/>
    <s v="N/A"/>
    <s v="N/A"/>
    <m/>
    <s v="PALMIRA "/>
    <s v="REGIONAL"/>
    <m/>
    <n v="3.600702480194686E-3"/>
    <n v="1"/>
    <n v="1"/>
    <n v="7"/>
  </r>
  <r>
    <n v="106"/>
    <s v="0106"/>
    <s v="GUENAA"/>
    <d v="2022-01-26T00:00:00"/>
    <x v="1"/>
    <s v="GE0231"/>
    <s v="FR-500-GE-0150-2022"/>
    <s v="N/A"/>
    <s v="Suministro de monitor administrador de temperatura de transformadores salida scada."/>
    <n v="71400000"/>
    <m/>
    <s v="900-IP-0144-2022"/>
    <s v="IP-"/>
    <n v="202202179"/>
    <m/>
    <s v="N/A"/>
    <s v="N/A"/>
    <s v="N/A"/>
    <x v="2"/>
    <s v="SILVIA GALINDO"/>
    <d v="2022-01-26T00:00:00"/>
    <e v="#VALUE!"/>
    <e v="#VALUE!"/>
    <s v="NO"/>
    <s v="Devuelto"/>
    <x v="2"/>
    <m/>
    <s v="26 de enero en cotizaciones_x000a_28 DE ENERO EN REVISION DE LA FPA E INVITACION"/>
    <d v="2022-01-28T00:00:00"/>
    <x v="5"/>
    <s v="ene"/>
    <n v="2"/>
    <n v="2"/>
    <s v="G"/>
    <s v="FUNCIONAMIENTO"/>
    <m/>
    <m/>
    <m/>
    <m/>
    <m/>
    <n v="71400000"/>
    <m/>
    <m/>
    <m/>
    <m/>
    <m/>
    <m/>
    <m/>
    <m/>
    <m/>
    <n v="1"/>
    <m/>
    <m/>
  </r>
  <r>
    <n v="107"/>
    <s v="0107"/>
    <s v="GUENAA"/>
    <d v="2022-01-26T00:00:00"/>
    <x v="1"/>
    <s v="GAA0265"/>
    <s v="FR-300-GAA-0031-2022"/>
    <s v="N/A"/>
    <s v="Lavado de los reservorios PTAP de Puerto Mallarino"/>
    <n v="164087782"/>
    <s v="7 meses"/>
    <s v="900-IP-0140-2022"/>
    <m/>
    <n v="202200894"/>
    <n v="164087782"/>
    <s v="N/A"/>
    <s v="N/A"/>
    <m/>
    <x v="2"/>
    <s v="VIAGNERY LOPEZ"/>
    <d v="2022-01-26T00:00:00"/>
    <m/>
    <m/>
    <m/>
    <s v="Entregado al area"/>
    <x v="1"/>
    <s v="24 de enero en recepcion de ofertas_x000a_27 de enero en solicitud de polizas y rp"/>
    <m/>
    <d v="2022-02-03T00:00:00"/>
    <x v="2"/>
    <m/>
    <n v="8"/>
    <n v="8"/>
    <s v="G"/>
    <s v="FUNCIONAMIENTO"/>
    <s v="300-AO-1321-2022"/>
    <d v="2022-01-28T00:00:00"/>
    <n v="162077952"/>
    <s v="ALQUILER Y CONSTRUCCIONES CARABALI SAS"/>
    <m/>
    <n v="2009830"/>
    <m/>
    <m/>
    <s v="N/A"/>
    <s v="N/A"/>
    <m/>
    <s v="CALI"/>
    <s v="LOCAL"/>
    <m/>
    <n v="1.2248504888682083E-2"/>
    <n v="1"/>
    <n v="1"/>
    <n v="6"/>
  </r>
  <r>
    <n v="108"/>
    <s v="0108"/>
    <s v="GTI"/>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s v="JULIO ERAZO"/>
    <d v="2022-01-26T00:00:00"/>
    <m/>
    <m/>
    <m/>
    <s v="Entregado al area"/>
    <x v="1"/>
    <s v="28 DE ENERO EN ELABORACION DE LA EVALUACION_x000a_en solicitud de RP "/>
    <m/>
    <d v="2022-02-15T00:00:00"/>
    <x v="2"/>
    <m/>
    <n v="20"/>
    <n v="20"/>
    <s v="G"/>
    <s v="FUNCIONAMIENTO"/>
    <s v="200-AO-1427-2022"/>
    <d v="2022-01-28T00:00:00"/>
    <n v="357779912"/>
    <s v="INTEGRATIC SAS"/>
    <m/>
    <n v="88"/>
    <m/>
    <m/>
    <s v="N/A"/>
    <s v="N/A"/>
    <m/>
    <s v="CALI"/>
    <s v="LOCAL"/>
    <m/>
    <n v="2.4596120520990555E-7"/>
    <n v="0"/>
    <n v="1"/>
    <n v="14"/>
  </r>
  <r>
    <n v="109"/>
    <s v="0109"/>
    <s v="GTI"/>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s v="JULIO ERAZO"/>
    <d v="2022-01-26T00:00:00"/>
    <m/>
    <m/>
    <m/>
    <s v="Entregado al area"/>
    <x v="1"/>
    <s v="28 DE ENERO EN ELABORACION DE LA EVALUACION_x000a_esperando numeracion de la aceptacion"/>
    <m/>
    <d v="2022-02-08T00:00:00"/>
    <x v="2"/>
    <m/>
    <n v="13"/>
    <n v="13"/>
    <s v="G"/>
    <s v="FUNCIONAMIENTO"/>
    <s v="200-AO-1477-2022"/>
    <d v="2022-01-28T00:00:00"/>
    <n v="185000000"/>
    <s v="BEST ENERGY SAS"/>
    <m/>
    <n v="0"/>
    <m/>
    <m/>
    <s v="N/A"/>
    <s v="N/A"/>
    <m/>
    <s v="CALI"/>
    <s v="LOCAL"/>
    <m/>
    <n v="0"/>
    <n v="0"/>
    <n v="1"/>
    <n v="9"/>
  </r>
  <r>
    <n v="110"/>
    <s v="0110"/>
    <s v="GUENAA"/>
    <d v="2022-01-26T00:00:00"/>
    <x v="1"/>
    <s v="GAA0108"/>
    <s v="FR-300-GAA-0034-2022"/>
    <s v="N/A"/>
    <s v="Levantamientos planimetricos y altimetricos topograficos año 2022, para proyectos priorizados GUENAA de acueducto y alcantarillado"/>
    <n v="119987700"/>
    <m/>
    <s v="900-IP-0153-2022"/>
    <s v="IP-"/>
    <n v="202201992"/>
    <m/>
    <s v="N/A"/>
    <s v="N/A"/>
    <s v="N/A"/>
    <x v="2"/>
    <s v="JHON LARRY "/>
    <d v="2022-01-26T00:00:00"/>
    <e v="#VALUE!"/>
    <e v="#VALUE!"/>
    <s v="NO"/>
    <s v="Devuelto"/>
    <x v="2"/>
    <m/>
    <s v="28 de enero en cotizaciones "/>
    <d v="2022-02-17T00:00:00"/>
    <x v="5"/>
    <s v="feb"/>
    <n v="22"/>
    <n v="22"/>
    <s v="G"/>
    <s v="FUNCIONAMIENTO"/>
    <m/>
    <m/>
    <m/>
    <m/>
    <m/>
    <n v="119987700"/>
    <m/>
    <m/>
    <m/>
    <m/>
    <m/>
    <m/>
    <m/>
    <m/>
    <m/>
    <n v="1"/>
    <m/>
    <m/>
  </r>
  <r>
    <n v="111"/>
    <s v="0111"/>
    <s v="GUENAA"/>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s v="JHON LARRY "/>
    <d v="2022-01-26T00:00:00"/>
    <e v="#VALUE!"/>
    <e v="#VALUE!"/>
    <s v="NO"/>
    <s v="Devuelto"/>
    <x v="2"/>
    <m/>
    <s v="28 de enero en cotizaciones "/>
    <d v="2022-01-28T00:00:00"/>
    <x v="5"/>
    <s v="ene"/>
    <n v="2"/>
    <n v="2"/>
    <s v="G"/>
    <s v="FUNCIONAMIENTO"/>
    <m/>
    <m/>
    <m/>
    <m/>
    <m/>
    <n v="99995700"/>
    <m/>
    <m/>
    <m/>
    <m/>
    <m/>
    <m/>
    <m/>
    <m/>
    <m/>
    <n v="1"/>
    <m/>
    <m/>
  </r>
  <r>
    <n v="112"/>
    <s v="0112"/>
    <s v="GTI"/>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s v="PABLO CAICEDO"/>
    <d v="2022-01-26T00:00:00"/>
    <e v="#VALUE!"/>
    <e v="#VALUE!"/>
    <s v="NO"/>
    <s v="Devuelto"/>
    <x v="2"/>
    <m/>
    <m/>
    <d v="2022-01-26T00:00:00"/>
    <x v="5"/>
    <s v="ene"/>
    <n v="0"/>
    <n v="0"/>
    <s v="G"/>
    <s v="FUNCIONAMIENTO"/>
    <m/>
    <m/>
    <m/>
    <m/>
    <m/>
    <n v="230000000"/>
    <m/>
    <m/>
    <m/>
    <m/>
    <m/>
    <m/>
    <m/>
    <m/>
    <m/>
    <n v="0"/>
    <m/>
    <m/>
  </r>
  <r>
    <n v="113"/>
    <s v="0113"/>
    <s v="GUENAA"/>
    <d v="2022-01-27T00:00:00"/>
    <x v="1"/>
    <s v="GAA0298"/>
    <s v="FR-300-GAA-0036-2022"/>
    <s v="N/A"/>
    <s v="Reparación de daños en red matriz mayores o iguales a 12&quot;"/>
    <n v="499993357"/>
    <s v="4 Meses"/>
    <s v="900-IP-0151-2022"/>
    <m/>
    <n v="202202301"/>
    <n v="500000000"/>
    <s v="N/A"/>
    <s v="N/A"/>
    <m/>
    <x v="2"/>
    <s v="VIAGNERY LOPEZ"/>
    <d v="2022-01-27T00:00:00"/>
    <m/>
    <m/>
    <m/>
    <s v="Entregado al area"/>
    <x v="1"/>
    <m/>
    <m/>
    <d v="2022-02-15T00:00:00"/>
    <x v="2"/>
    <m/>
    <n v="19"/>
    <n v="19"/>
    <s v="G"/>
    <s v="FUNCIONAMIENTO"/>
    <s v="300-AO-1343-2022"/>
    <d v="2022-01-27T00:00:00"/>
    <n v="497493391"/>
    <s v="CMO CONTRATISTAS MANO DE OBRA SAS"/>
    <m/>
    <n v="2499966"/>
    <m/>
    <m/>
    <s v="N/A"/>
    <s v="N/A"/>
    <m/>
    <s v="CALI"/>
    <s v="LOCAL"/>
    <m/>
    <n v="4.9999984299791411E-3"/>
    <n v="1"/>
    <n v="1"/>
    <n v="13"/>
  </r>
  <r>
    <n v="114"/>
    <s v="0114"/>
    <s v="GTI"/>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s v="PABLO CAICEDO"/>
    <d v="2022-01-27T00:00:00"/>
    <m/>
    <m/>
    <m/>
    <s v="Entregado al area"/>
    <x v="1"/>
    <s v="28 DE ENERO EN ELABOACION DE LA EVALUACION"/>
    <m/>
    <d v="2022-02-08T00:00:00"/>
    <x v="2"/>
    <m/>
    <n v="12"/>
    <n v="12"/>
    <s v="G"/>
    <s v="FUNCIONAMIENTO"/>
    <s v="200-AO-1515-2022"/>
    <d v="2022-01-28T00:00:00"/>
    <n v="385400000"/>
    <s v="OPTIMAL TECHNOLOGY SAS"/>
    <m/>
    <n v="4600000"/>
    <m/>
    <m/>
    <s v="N/A"/>
    <s v="N/A"/>
    <m/>
    <s v="CALI"/>
    <s v="LOCAL"/>
    <m/>
    <n v="1.1794871794871795E-2"/>
    <n v="0"/>
    <n v="1"/>
    <n v="8"/>
  </r>
  <r>
    <n v="115"/>
    <s v="0115"/>
    <s v="GAGHA"/>
    <d v="2022-01-27T00:00:00"/>
    <x v="1"/>
    <s v="GHA1600"/>
    <s v="FR-800-GAGHA-0095-2022"/>
    <s v="N/A"/>
    <s v="Compra de jabón líquido espumoso para manos"/>
    <n v="199992024"/>
    <s v="30 de julio 2022"/>
    <m/>
    <s v=""/>
    <n v="202201122"/>
    <n v="200571511"/>
    <s v="N/A"/>
    <s v="N/A"/>
    <s v="N/A"/>
    <x v="3"/>
    <s v="ANA MARIA GIL"/>
    <d v="2022-01-27T00:00:00"/>
    <e v="#VALUE!"/>
    <e v="#VALUE!"/>
    <s v="NO"/>
    <s v="Devuelto"/>
    <x v="2"/>
    <m/>
    <s v="28 de enero en elabroacion de fpa e invitacion_x000a_31 DE ENERO DEVUELTO AL AREA POR CUMPLIMIENTO DE PLAZO LEY DE GARANTIAS"/>
    <d v="2022-01-31T00:00:00"/>
    <x v="5"/>
    <s v="ene"/>
    <n v="4"/>
    <n v="4"/>
    <s v="G"/>
    <s v="FUNCIONAMIENTO"/>
    <m/>
    <m/>
    <m/>
    <m/>
    <m/>
    <n v="199992024"/>
    <m/>
    <m/>
    <m/>
    <m/>
    <m/>
    <m/>
    <m/>
    <m/>
    <m/>
    <n v="0"/>
    <m/>
    <m/>
  </r>
  <r>
    <n v="116"/>
    <s v="0116"/>
    <s v="GAGHA"/>
    <d v="2022-01-27T00:00:00"/>
    <x v="1"/>
    <s v="GHA0006"/>
    <s v="FR-800-GAGHA-0121-2022"/>
    <s v="N/A"/>
    <s v="Realizar piezas publicitarias para la campaña de comunicación del proyecto de implementación del sistema integral de gestión de activos SIGA."/>
    <n v="69888700"/>
    <m/>
    <m/>
    <s v=""/>
    <n v="202201939"/>
    <m/>
    <s v="N/A"/>
    <s v="N/A"/>
    <s v="N/A"/>
    <x v="3"/>
    <s v="MARIO AREVALO"/>
    <d v="2022-01-27T00:00:00"/>
    <e v="#VALUE!"/>
    <e v="#VALUE!"/>
    <s v="NO"/>
    <s v="Devuelto"/>
    <x v="2"/>
    <m/>
    <s v="28 de enero en cotizaciones "/>
    <d v="2022-01-28T00:00:00"/>
    <x v="5"/>
    <s v="ene"/>
    <n v="1"/>
    <n v="1"/>
    <s v="G"/>
    <s v="FUNCIONAMIENTO"/>
    <m/>
    <m/>
    <m/>
    <m/>
    <m/>
    <n v="69888700"/>
    <m/>
    <m/>
    <m/>
    <m/>
    <m/>
    <m/>
    <m/>
    <m/>
    <m/>
    <n v="0"/>
    <m/>
    <m/>
  </r>
  <r>
    <n v="117"/>
    <s v="0117"/>
    <s v="GUENE"/>
    <d v="2022-01-27T00:00:00"/>
    <x v="1"/>
    <s v="GE0230"/>
    <s v="FR-500-GE-0161-2022"/>
    <s v="N/A"/>
    <s v="Suministro de protecciones"/>
    <n v="157827595"/>
    <s v="60 dias "/>
    <m/>
    <s v=""/>
    <n v="202202372"/>
    <n v="157827595"/>
    <s v="N/A"/>
    <s v="N/A"/>
    <s v="N/A"/>
    <x v="4"/>
    <s v="JUAN PABLO QUIMBAYO"/>
    <d v="2022-01-27T00:00:00"/>
    <e v="#VALUE!"/>
    <e v="#VALUE!"/>
    <s v="NO"/>
    <s v="Devuelto"/>
    <x v="2"/>
    <m/>
    <s v="28 DE ENERO EN COTIZACIONES_x000a_"/>
    <d v="2022-01-31T00:00:00"/>
    <x v="5"/>
    <s v="ene"/>
    <n v="4"/>
    <n v="4"/>
    <s v="G"/>
    <s v="FUNCIONAMIENTO"/>
    <m/>
    <m/>
    <m/>
    <m/>
    <m/>
    <n v="157827595"/>
    <m/>
    <m/>
    <m/>
    <m/>
    <m/>
    <m/>
    <m/>
    <m/>
    <m/>
    <n v="1"/>
    <m/>
    <m/>
  </r>
  <r>
    <n v="118"/>
    <s v="0118"/>
    <s v="GUENE"/>
    <d v="2022-01-27T00:00:00"/>
    <x v="1"/>
    <s v="GE0215"/>
    <s v="FR-500-GE-0177-2022"/>
    <s v="N/A"/>
    <s v="Suministro de aisladores electricos"/>
    <n v="36899520"/>
    <m/>
    <m/>
    <s v=""/>
    <n v="202202298"/>
    <m/>
    <s v="N/A"/>
    <s v="N/A"/>
    <s v="N/A"/>
    <x v="3"/>
    <s v="LINA ECHAVARRIA"/>
    <d v="2022-01-27T00:00:00"/>
    <e v="#VALUE!"/>
    <e v="#VALUE!"/>
    <s v="NO"/>
    <s v="Devuelto"/>
    <x v="2"/>
    <m/>
    <s v="28 de enero en solicitud de conceptos_x000a_28 DE ENERO SE DEVUELVE POR VENCIMIENTO DE PLAZO DE LEY DE GARANTIAS"/>
    <d v="2022-01-28T00:00:00"/>
    <x v="5"/>
    <s v="ene"/>
    <n v="1"/>
    <n v="1"/>
    <s v="G"/>
    <s v="FUNCIONAMIENTO"/>
    <m/>
    <m/>
    <m/>
    <m/>
    <m/>
    <n v="36899520"/>
    <m/>
    <m/>
    <m/>
    <m/>
    <m/>
    <m/>
    <m/>
    <m/>
    <m/>
    <n v="1"/>
    <m/>
    <m/>
  </r>
  <r>
    <n v="119"/>
    <s v="0119"/>
    <s v="GUENE"/>
    <d v="2022-01-27T00:00:00"/>
    <x v="1"/>
    <s v="GE0184"/>
    <s v="FR-500-GE-0187-2022"/>
    <s v="N/A"/>
    <s v="Mnatenimiento general de las plantas de emergencia de las Subestaciones de Energía del Sistema de Distribución de Local de EMCALI EICE ESP."/>
    <n v="95200000"/>
    <m/>
    <s v="900-IP-0119-2022"/>
    <s v="IP-"/>
    <n v="202202439"/>
    <m/>
    <s v="N/A"/>
    <s v="N/A"/>
    <s v="N/A"/>
    <x v="2"/>
    <s v="LINA ECHAVARRIA"/>
    <d v="2022-01-27T00:00:00"/>
    <e v="#VALUE!"/>
    <e v="#VALUE!"/>
    <s v="NO"/>
    <s v="Devuelto"/>
    <x v="2"/>
    <m/>
    <s v="28 de enero en solicitud de conceptos_x000a_28 DE ENERO SE DEVUELVE POR PLAZO DE CUMPLIMIENTO DE LEY DE GARANTIAS"/>
    <d v="2022-01-28T00:00:00"/>
    <x v="5"/>
    <s v="ene"/>
    <n v="1"/>
    <n v="1"/>
    <s v="G"/>
    <s v="FUNCIONAMIENTO"/>
    <m/>
    <m/>
    <m/>
    <m/>
    <m/>
    <n v="95200000"/>
    <m/>
    <m/>
    <m/>
    <m/>
    <m/>
    <m/>
    <m/>
    <m/>
    <m/>
    <n v="1"/>
    <m/>
    <m/>
  </r>
  <r>
    <n v="120"/>
    <s v="0120"/>
    <s v="GUENE"/>
    <d v="2022-01-27T00:00:00"/>
    <x v="1"/>
    <s v="GE0311"/>
    <s v="FR-500-GE-0118-2022"/>
    <s v="N/A"/>
    <s v="Suministro de CONECTORES, de acuerdo con las condiciones y especificaciones técnicas."/>
    <n v="60695367"/>
    <s v="31 de diciembre 2022"/>
    <s v="900-IP-0113-2021"/>
    <m/>
    <n v="202201916"/>
    <n v="152821240"/>
    <s v="N/A"/>
    <s v="N/A"/>
    <m/>
    <x v="2"/>
    <s v="LINA ECHAVARRIA"/>
    <d v="2022-01-27T00:00:00"/>
    <m/>
    <m/>
    <m/>
    <s v="Entregado al area"/>
    <x v="1"/>
    <m/>
    <m/>
    <d v="2022-02-08T00:00:00"/>
    <x v="2"/>
    <m/>
    <n v="12"/>
    <n v="12"/>
    <s v="G"/>
    <s v="OPERACIÓN_x000a_FUNCIONAMIENTO_x000a_INVERSION"/>
    <s v="500-AO-1507-2022"/>
    <d v="2022-01-28T00:00:00"/>
    <n v="60695367"/>
    <s v="PROELCO SAS"/>
    <m/>
    <n v="0"/>
    <m/>
    <m/>
    <s v="2022-024"/>
    <d v="2022-01-19T00:00:00"/>
    <m/>
    <s v="BOGOTA"/>
    <s v="NACIONAL"/>
    <m/>
    <n v="0"/>
    <n v="1"/>
    <n v="1"/>
    <n v="8"/>
  </r>
  <r>
    <n v="121"/>
    <s v="0164"/>
    <s v="GUENAA"/>
    <d v="2022-02-01T00:00:00"/>
    <x v="2"/>
    <s v="GAA0349"/>
    <s v="FR-300-GAA-0040-2022"/>
    <s v="N/A"/>
    <s v="Suministro de rejillas para sumideros en polimero de 8 huecos"/>
    <n v="119148750"/>
    <m/>
    <s v="900-IPU-0164-2022"/>
    <s v="IPU"/>
    <n v="202201931"/>
    <m/>
    <s v="N/A"/>
    <s v="N/A"/>
    <s v="Menor cuantia"/>
    <x v="0"/>
    <s v="LINA ECHAVARRIA"/>
    <d v="2022-02-03T00:00:00"/>
    <e v="#VALUE!"/>
    <e v="#VALUE!"/>
    <s v="NO"/>
    <s v="Cerrado"/>
    <x v="0"/>
    <m/>
    <s v="se unio en el proceso 196"/>
    <m/>
    <x v="5"/>
    <s v=""/>
    <n v="-44593"/>
    <n v="-44595"/>
    <m/>
    <s v="FUNCIONAMIENTO"/>
    <m/>
    <m/>
    <m/>
    <m/>
    <m/>
    <m/>
    <n v="119148750"/>
    <m/>
    <m/>
    <m/>
    <m/>
    <m/>
    <m/>
    <m/>
    <m/>
    <n v="1"/>
    <m/>
    <m/>
  </r>
  <r>
    <n v="122"/>
    <s v="0165"/>
    <s v="GUENAA"/>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s v="VIAGNERY LOPEZ"/>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x v="5"/>
    <s v="abr"/>
    <n v="63"/>
    <n v="63"/>
    <m/>
    <s v="INVERSION"/>
    <m/>
    <m/>
    <m/>
    <m/>
    <m/>
    <m/>
    <n v="200500000"/>
    <m/>
    <m/>
    <m/>
    <m/>
    <m/>
    <m/>
    <m/>
    <m/>
    <n v="1"/>
    <m/>
    <m/>
  </r>
  <r>
    <n v="123"/>
    <s v="0166"/>
    <s v="GUENAA"/>
    <d v="2022-02-03T00:00:00"/>
    <x v="2"/>
    <s v="GAA0348"/>
    <s v="FR-300-GAA-0045-2022"/>
    <s v="N/A"/>
    <s v="Suministro de rejillas concreto reforzado para el mantenimiento de las redes de alcantarillado operadas por EMCALI"/>
    <n v="304203270"/>
    <m/>
    <s v="900-IPU-0166-2022"/>
    <s v="IPU"/>
    <n v="202201930"/>
    <m/>
    <s v="N/A"/>
    <s v="N/A"/>
    <s v="Menor cuantia"/>
    <x v="0"/>
    <s v="LINA ECHAVARRIA"/>
    <d v="2022-02-03T00:00:00"/>
    <e v="#VALUE!"/>
    <e v="#VALUE!"/>
    <s v="NO"/>
    <s v="Cerrado"/>
    <x v="0"/>
    <m/>
    <s v="se unio en el proceso 196"/>
    <m/>
    <x v="5"/>
    <s v=""/>
    <n v="-44595"/>
    <n v="-44595"/>
    <m/>
    <s v="FUNCIONAMIENTO"/>
    <m/>
    <m/>
    <m/>
    <m/>
    <m/>
    <m/>
    <n v="304203270"/>
    <m/>
    <m/>
    <m/>
    <m/>
    <m/>
    <m/>
    <m/>
    <m/>
    <n v="1"/>
    <m/>
    <m/>
  </r>
  <r>
    <n v="124"/>
    <s v="0167"/>
    <s v="GUENAA"/>
    <d v="2022-02-03T00:00:00"/>
    <x v="2"/>
    <s v="GAA0402"/>
    <s v="FR-300-GAA-0041-2022"/>
    <s v="300-CMA-1243-2020"/>
    <s v="Suministro de cloruro férrico en base líquida al 42% para ser utilizado en el tratamiento de las aguas residuales en la PTAR C."/>
    <n v="472775520"/>
    <s v="150 dias"/>
    <s v="N/A"/>
    <m/>
    <n v="202201853"/>
    <m/>
    <s v="N/A"/>
    <s v="N/A"/>
    <m/>
    <x v="1"/>
    <s v="LUCY ARBELAEZ"/>
    <d v="2022-02-03T00:00:00"/>
    <m/>
    <m/>
    <m/>
    <s v="Entregado al area"/>
    <x v="1"/>
    <m/>
    <m/>
    <d v="2022-02-24T00:00:00"/>
    <x v="6"/>
    <m/>
    <n v="21"/>
    <n v="21"/>
    <s v="N/A"/>
    <s v="FUNCIONAMIENTO"/>
    <s v="300-CMA-1243-2020/300-AO-1676-2022"/>
    <d v="2022-02-10T00:00:00"/>
    <n v="472353399"/>
    <s v="QUIMPAC COLOMBIA SA"/>
    <m/>
    <n v="422121"/>
    <m/>
    <m/>
    <s v="N/A"/>
    <s v="N/A"/>
    <m/>
    <s v="YUMBO"/>
    <s v="MUNICIPAL"/>
    <m/>
    <n v="8.9285714285714283E-4"/>
    <n v="1"/>
    <n v="0"/>
    <n v="21"/>
  </r>
  <r>
    <n v="125"/>
    <s v="0168"/>
    <s v="GUENAA"/>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s v="LUCY ARBELAEZ"/>
    <d v="2022-02-03T00:00:00"/>
    <e v="#REF!"/>
    <e v="#REF!"/>
    <s v="SI"/>
    <s v="Entregado al area"/>
    <x v="1"/>
    <s v="31 DE MARZO ADELANTANDO OTRO SI PARA AJUSTE DE PRECIOS_x000a_20 DE ABRIL ESPERANDO EN SOLICITUD DE RP_x000a_28 DE ABRIL ENTREGADO AL AREA"/>
    <m/>
    <d v="2022-04-28T00:00:00"/>
    <x v="8"/>
    <m/>
    <n v="84"/>
    <n v="84"/>
    <s v="N/A"/>
    <s v="FUNCIONAMIENTO"/>
    <s v="300-CMA-1242-2020/300-AO-1904-2022"/>
    <d v="2022-04-20T00:00:00"/>
    <n v="748177472"/>
    <s v="SNF COLOMBIA SAS"/>
    <m/>
    <n v="3759427"/>
    <m/>
    <m/>
    <s v="N/A"/>
    <s v="N/A"/>
    <m/>
    <s v="TOCANCIPA"/>
    <s v="NACIONAL"/>
    <m/>
    <n v="4.9996575577015276E-3"/>
    <n v="1"/>
    <n v="0"/>
    <n v="84"/>
  </r>
  <r>
    <n v="126"/>
    <s v="0169"/>
    <s v="GUENAA"/>
    <d v="2022-02-03T00:00:00"/>
    <x v="2"/>
    <s v="GAA0404"/>
    <s v="FR-300-GAA-0043-2022"/>
    <s v="300-CMA-1242-2020"/>
    <s v="Suministro de polímero ayudante de floculación para ser utilizado en el tratamiento de las aguas residuales en la PTAR C."/>
    <n v="29768016"/>
    <m/>
    <s v="N/A"/>
    <m/>
    <n v="202201855"/>
    <m/>
    <s v="N/A"/>
    <s v="N/A"/>
    <s v="N/A"/>
    <x v="1"/>
    <s v="LUCY ARBELAEZ"/>
    <d v="2022-02-03T00:00:00"/>
    <e v="#REF!"/>
    <e v="#REF!"/>
    <s v="SI"/>
    <s v="Entregado al area"/>
    <x v="1"/>
    <s v="31 DE MARZO ADELANTANDO OTRO SI PARA AJUSTE DE PRECIOS_x000a_20 DE ABRIL ESPERANDO EN SOLICITUD DE RP"/>
    <m/>
    <d v="2022-04-28T00:00:00"/>
    <x v="8"/>
    <m/>
    <n v="84"/>
    <n v="84"/>
    <s v="N/A"/>
    <s v="FUNCIONAMIENTO"/>
    <s v="300-CMA-1242-2020/300-AO-1904-2022"/>
    <d v="2022-04-20T00:00:00"/>
    <n v="29620147"/>
    <s v="SNF COLOMBIA SAS"/>
    <m/>
    <n v="147869"/>
    <m/>
    <m/>
    <m/>
    <m/>
    <m/>
    <m/>
    <m/>
    <m/>
    <n v="4.9673784104389083E-3"/>
    <n v="1"/>
    <n v="0"/>
    <n v="84"/>
  </r>
  <r>
    <n v="127"/>
    <s v="0170"/>
    <s v="GUENAA"/>
    <d v="2022-02-03T00:00:00"/>
    <x v="2"/>
    <s v="GAA0405"/>
    <s v="FR-300-GAA-0044-2022"/>
    <s v="300-CMA-1240-2020"/>
    <s v="Suministro de producto para control de olores en el tratamiento de las aguas residuales de la PTAR C."/>
    <n v="11099852"/>
    <s v="150 dias"/>
    <s v="N/A"/>
    <m/>
    <n v="202201856"/>
    <m/>
    <s v="N/A"/>
    <s v="N/A"/>
    <m/>
    <x v="1"/>
    <s v="LUCY ARBELAEZ"/>
    <d v="2022-02-03T00:00:00"/>
    <m/>
    <m/>
    <m/>
    <s v="Entregado al area"/>
    <x v="1"/>
    <m/>
    <m/>
    <d v="2022-02-28T00:00:00"/>
    <x v="6"/>
    <m/>
    <n v="25"/>
    <n v="25"/>
    <s v="N/A"/>
    <s v="FUNCIONAMIENTO"/>
    <s v="300-CMA-1240-2020/300-AO-1677-2022"/>
    <d v="2022-02-17T00:00:00"/>
    <n v="11043096"/>
    <s v="PROAQO INGENIERIA  SAS"/>
    <m/>
    <n v="56756"/>
    <m/>
    <m/>
    <s v="N/A"/>
    <s v="N/A"/>
    <m/>
    <s v="BOGOTA"/>
    <s v="NACIONAL"/>
    <m/>
    <n v="5.1132213294375461E-3"/>
    <n v="1"/>
    <n v="0"/>
    <n v="25"/>
  </r>
  <r>
    <n v="128"/>
    <s v="0171"/>
    <s v="GUENAA"/>
    <d v="2022-02-07T00:00:00"/>
    <x v="2"/>
    <s v="GAA0347"/>
    <s v="FR-300-GAA-0046-2022"/>
    <s v="300-CMA-1974-2020"/>
    <s v="Compra de herramientas para la reparación de daños servicio de alcantarillado PUNTAS ROMPEPAVIMENTO"/>
    <n v="43271668"/>
    <s v="2 meses"/>
    <s v="N/A"/>
    <m/>
    <n v="202201929"/>
    <m/>
    <s v="N/A"/>
    <s v="N/A"/>
    <s v="N/A"/>
    <x v="1"/>
    <s v="LUCY ARBELAEZ"/>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x v="9"/>
    <m/>
    <n v="119"/>
    <n v="119"/>
    <s v="N/A"/>
    <s v="FUNCIONAMIENTO"/>
    <s v="300-CMA-1974-2020/300-AO-1925-2022"/>
    <d v="2022-05-23T00:00:00"/>
    <n v="42033077"/>
    <s v="EQUIPOS Y HERRAMIENTAS INDUSTRIALES SAS"/>
    <n v="202205478"/>
    <n v="1238591"/>
    <m/>
    <m/>
    <s v="2022-046"/>
    <d v="2022-01-25T00:00:00"/>
    <m/>
    <s v="CALI"/>
    <s v="LOCAL"/>
    <s v="UNIDAD DE RECOLECCION"/>
    <n v="2.8623601937415494E-2"/>
    <n v="1"/>
    <n v="0"/>
    <n v="119"/>
  </r>
  <r>
    <n v="129"/>
    <s v="0172"/>
    <s v="GUENAA"/>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s v="HAROLD MONDRAGON"/>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x v="9"/>
    <m/>
    <n v="126"/>
    <n v="115"/>
    <s v="N/A"/>
    <s v="FUNCIONAMIENTO"/>
    <s v="300-AO-1927-2022"/>
    <d v="2022-05-18T00:00:00"/>
    <n v="737800000"/>
    <s v="SG INGENIERIA EN DUCTOS SA"/>
    <n v="202205488"/>
    <n v="31437672"/>
    <m/>
    <m/>
    <m/>
    <m/>
    <m/>
    <s v="BOGOTA"/>
    <s v="NACIONAL"/>
    <m/>
    <n v="4.0868606861469467E-2"/>
    <n v="1"/>
    <n v="2"/>
    <n v="111"/>
  </r>
  <r>
    <n v="130"/>
    <s v="0173"/>
    <s v="GUENAA"/>
    <d v="2022-02-10T00:00:00"/>
    <x v="2"/>
    <s v="GAA0264"/>
    <s v="FR-300-GAA-0049-2022"/>
    <s v="N/A"/>
    <s v="Mantenimiento y calibración sistemas de pesaje plantas de tratamiento de agua potable"/>
    <n v="29720250"/>
    <m/>
    <s v="900-IPU-0173-2022"/>
    <s v="IPU"/>
    <n v="202200893"/>
    <m/>
    <s v="N/A"/>
    <s v="N/A"/>
    <s v="Menor cuantia"/>
    <x v="0"/>
    <s v="PAOLA BELTRAN"/>
    <d v="2022-02-10T00:00:00"/>
    <e v="#VALUE!"/>
    <e v="#VALUE!"/>
    <s v="NO"/>
    <s v="Cerrado"/>
    <x v="0"/>
    <m/>
    <s v="23 de marzo en adenda de modificacion de plazo_x000a_31 DE MARZO SE CERRO EL PROCESO NO SE PRESENTO PROPONENTE"/>
    <d v="2022-03-31T00:00:00"/>
    <x v="5"/>
    <s v="mar"/>
    <n v="49"/>
    <n v="49"/>
    <m/>
    <s v="FUNCIONAMIENTO"/>
    <m/>
    <m/>
    <m/>
    <m/>
    <m/>
    <m/>
    <n v="29720250"/>
    <m/>
    <m/>
    <m/>
    <m/>
    <m/>
    <m/>
    <m/>
    <m/>
    <n v="1"/>
    <m/>
    <m/>
  </r>
  <r>
    <n v="131"/>
    <s v="0174"/>
    <s v="GUENT"/>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s v="ESTEFANIA SANCHEZ"/>
    <d v="2022-02-14T00:00:00"/>
    <e v="#REF!"/>
    <e v="#REF!"/>
    <s v="SI"/>
    <s v="Entregado al area"/>
    <x v="1"/>
    <s v="23 de marzo esperando polizas del proveedor"/>
    <m/>
    <d v="2022-03-31T00:00:00"/>
    <x v="7"/>
    <m/>
    <n v="45"/>
    <n v="45"/>
    <s v="N/A"/>
    <s v="FUNCIONAMIENTO"/>
    <s v="500-CMA-1743-2021/400-AO-1684-2022"/>
    <d v="2022-03-16T00:00:00"/>
    <n v="1273355871"/>
    <s v="CENTELSA SA"/>
    <m/>
    <n v="90326771"/>
    <m/>
    <m/>
    <s v="N/A"/>
    <s v="N/A"/>
    <m/>
    <s v="YUMBO"/>
    <s v="MUNICIPAL"/>
    <m/>
    <n v="6.6237384137650401E-2"/>
    <n v="1"/>
    <n v="0"/>
    <n v="45"/>
  </r>
  <r>
    <n v="132"/>
    <s v="0175"/>
    <s v="GTI"/>
    <d v="2022-02-15T00:00:00"/>
    <x v="2"/>
    <s v="GTI0019"/>
    <s v="FR-200-GTI-0013-2022"/>
    <s v="N/A"/>
    <s v="Suscripción de una plataforma integral de mensajería, correo electrónico y trabajo colaborativo en la Nube."/>
    <n v="1222350357"/>
    <m/>
    <s v="900-IPU-0175-2022"/>
    <s v="IPU"/>
    <n v="202202134"/>
    <m/>
    <s v="N/A"/>
    <s v="N/A"/>
    <s v="Mayor cuantia"/>
    <x v="0"/>
    <s v="PABLO CAICEDO"/>
    <d v="2022-02-15T00:00:00"/>
    <e v="#VALUE!"/>
    <e v="#VALUE!"/>
    <s v="NO"/>
    <s v="Cerrado"/>
    <x v="0"/>
    <m/>
    <m/>
    <d v="2022-02-15T00:00:00"/>
    <x v="5"/>
    <s v="feb"/>
    <n v="0"/>
    <n v="0"/>
    <m/>
    <s v="FUNCIONAMIENTO"/>
    <m/>
    <m/>
    <m/>
    <m/>
    <m/>
    <m/>
    <n v="1222350357"/>
    <m/>
    <m/>
    <m/>
    <m/>
    <m/>
    <m/>
    <m/>
    <m/>
    <n v="0"/>
    <m/>
    <m/>
  </r>
  <r>
    <n v="133"/>
    <s v="0176"/>
    <s v="GTI"/>
    <d v="2022-02-15T00:00:00"/>
    <x v="2"/>
    <s v="GTI0003"/>
    <s v="FR-200-GTI-0092-2022"/>
    <s v="N/A"/>
    <s v="Adquirir e implementar PURE STORAGE crecimiento Scale-Out X50r3 /c40R3 247TB"/>
    <n v="1510200000"/>
    <s v="3 Meses"/>
    <s v="900-IPU-0176-2022"/>
    <m/>
    <n v="202202601"/>
    <n v="1510200000"/>
    <s v="N/A"/>
    <s v="N/A"/>
    <s v="Mayor cuantia"/>
    <x v="0"/>
    <s v="PABLO CAICEDO"/>
    <d v="2022-02-15T00:00:00"/>
    <n v="107"/>
    <n v="107"/>
    <s v="SI"/>
    <s v="Entregado al area"/>
    <x v="1"/>
    <s v="31 de marzo esperando las polizas por parte del proveedor_x000a_6 ABRIL ENTREGADO AL AREA"/>
    <m/>
    <d v="2022-04-06T00:00:00"/>
    <x v="8"/>
    <m/>
    <n v="50"/>
    <n v="50"/>
    <s v="N/A"/>
    <s v="FUNCIONAMIENTO"/>
    <s v="200-AO-1891-2022"/>
    <d v="2022-03-30T00:00:00"/>
    <n v="1510199964"/>
    <s v="NOVOPANGEA GROUP SAS"/>
    <m/>
    <n v="36"/>
    <m/>
    <m/>
    <s v="N/A"/>
    <s v="N/A"/>
    <m/>
    <s v="CALI"/>
    <s v="LOCAL"/>
    <m/>
    <n v="2.3837902264600715E-8"/>
    <n v="0"/>
    <n v="2"/>
    <n v="50"/>
  </r>
  <r>
    <n v="134"/>
    <s v="0177"/>
    <s v="GUENAA"/>
    <d v="2022-02-16T00:00:00"/>
    <x v="2"/>
    <s v="GAA0275"/>
    <s v="FR-300-GAA-0053-2022"/>
    <s v="N/A"/>
    <s v="Suministro de varillas para operación de valvulas de la red matriz de acueducto"/>
    <n v="9090372"/>
    <m/>
    <s v="N/A"/>
    <s v=""/>
    <n v="202200778"/>
    <m/>
    <s v="N/A"/>
    <s v="N/A"/>
    <s v="N/A"/>
    <x v="3"/>
    <s v="LUCY ARBELAEZ"/>
    <d v="2022-02-16T00:00:00"/>
    <e v="#VALUE!"/>
    <e v="#VALUE!"/>
    <s v="NO"/>
    <s v="Devuelto"/>
    <x v="2"/>
    <m/>
    <m/>
    <d v="2022-07-01T00:00:00"/>
    <x v="5"/>
    <s v="jul"/>
    <n v="135"/>
    <n v="135"/>
    <m/>
    <s v="FUNCIONAMIENTO"/>
    <m/>
    <m/>
    <m/>
    <m/>
    <m/>
    <n v="9090372"/>
    <m/>
    <m/>
    <m/>
    <m/>
    <m/>
    <m/>
    <m/>
    <m/>
    <m/>
    <n v="1"/>
    <m/>
    <m/>
  </r>
  <r>
    <n v="135"/>
    <s v="0178"/>
    <s v="GUENAA"/>
    <d v="2022-02-16T00:00:00"/>
    <x v="2"/>
    <s v="GAA0277"/>
    <s v="FR-300-GAA-0054-2022"/>
    <s v="N/A"/>
    <s v="Compra de cartas graficas circulares para registradores ref 4686 x 100 UND"/>
    <n v="4961235"/>
    <m/>
    <s v="900-IPU-0178-2022"/>
    <s v="IPU"/>
    <n v="202200780"/>
    <m/>
    <s v="N/A"/>
    <s v="N/A"/>
    <s v="Menor cuantia"/>
    <x v="0"/>
    <s v="ANA MARIA GIL"/>
    <d v="2022-02-16T00:00:00"/>
    <e v="#VALUE!"/>
    <e v="#VALUE!"/>
    <s v="NO"/>
    <s v="Cerrado"/>
    <x v="0"/>
    <m/>
    <s v="23 de marzo en respuestas a observaciones_x000a_31 de marzo se cierra porque el proveedor no cumple "/>
    <d v="2022-03-31T00:00:00"/>
    <x v="5"/>
    <s v="mar"/>
    <n v="43"/>
    <n v="43"/>
    <m/>
    <s v="FUNCIONAMIENTO"/>
    <m/>
    <m/>
    <m/>
    <m/>
    <m/>
    <m/>
    <n v="4961235"/>
    <m/>
    <m/>
    <m/>
    <m/>
    <m/>
    <m/>
    <m/>
    <m/>
    <n v="1"/>
    <m/>
    <m/>
  </r>
  <r>
    <n v="136"/>
    <s v="0179"/>
    <s v="GUENAA"/>
    <d v="2022-02-16T00:00:00"/>
    <x v="2"/>
    <s v="GAA0276"/>
    <s v="FR-300-GAA-0055-2022"/>
    <s v="N/A"/>
    <s v="Mantenimiento de equipos de pruebas hidrostaticas"/>
    <n v="5222524"/>
    <s v="31 de diciembre 2022"/>
    <s v="900-IPU-0179-2022"/>
    <m/>
    <n v="202200779"/>
    <m/>
    <s v="N/A"/>
    <s v="N/A"/>
    <s v="Menor cuantia"/>
    <x v="0"/>
    <s v="JULIO GARCIA"/>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x v="8"/>
    <m/>
    <n v="100"/>
    <n v="100"/>
    <s v="N/A"/>
    <s v="FUNCIONAMIENTO"/>
    <s v="300-AO-1924-2022"/>
    <d v="2022-05-23T00:00:00"/>
    <n v="5213002"/>
    <s v="LACC INGENIERIA SAS"/>
    <m/>
    <n v="9522"/>
    <m/>
    <m/>
    <s v="N/A"/>
    <s v="N/A"/>
    <m/>
    <s v="CALI"/>
    <s v="LOCAL"/>
    <m/>
    <n v="1.8232563411867519E-3"/>
    <n v="1"/>
    <n v="2"/>
    <n v="100"/>
  </r>
  <r>
    <n v="137"/>
    <s v="0180"/>
    <s v="GUENAA"/>
    <d v="2022-02-16T00:00:00"/>
    <x v="2"/>
    <s v="GAA0274"/>
    <s v="FR-300-GAA-0056-2022"/>
    <s v="N/A"/>
    <s v="Mantenimiento de las casetas de protección"/>
    <n v="5580200"/>
    <m/>
    <s v="900-IPU-0180-2022"/>
    <s v="IPU"/>
    <n v="202200777"/>
    <m/>
    <s v="N/A"/>
    <s v="N/A"/>
    <s v="Menor cuantia"/>
    <x v="0"/>
    <s v="JHON LARRY "/>
    <d v="2022-02-16T00:00:00"/>
    <e v="#VALUE!"/>
    <e v="#VALUE!"/>
    <s v="NO"/>
    <s v="Cerrado"/>
    <x v="0"/>
    <m/>
    <s v="24 de marzo en recepcion de ofertas_x000a_31 DE MARZO SE CIERRA PORQUE NADIE PRESENTO OFERTAS"/>
    <d v="2022-04-08T00:00:00"/>
    <x v="5"/>
    <s v="abr"/>
    <n v="51"/>
    <n v="51"/>
    <s v="N/A"/>
    <s v="FUNCIONAMIENTO"/>
    <m/>
    <m/>
    <m/>
    <m/>
    <m/>
    <m/>
    <n v="5580200"/>
    <m/>
    <m/>
    <m/>
    <m/>
    <m/>
    <m/>
    <m/>
    <m/>
    <n v="1"/>
    <m/>
    <m/>
  </r>
  <r>
    <n v="138"/>
    <s v="0181"/>
    <s v="GUENAA"/>
    <d v="2022-02-17T00:00:00"/>
    <x v="2"/>
    <s v="GAA0267"/>
    <s v="FR-300-GAA-0057-2022"/>
    <s v="N/A"/>
    <s v="Suministro de luminarias LED para PTAP"/>
    <n v="29999960"/>
    <s v="90 dias"/>
    <s v="900-IPU-0181-2022"/>
    <m/>
    <n v="202202192"/>
    <n v="30000000"/>
    <s v="N/A"/>
    <s v="N/A"/>
    <s v="Menor cuantia"/>
    <x v="0"/>
    <s v="JUAN PABLO QUIMBAYO"/>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x v="8"/>
    <m/>
    <n v="64"/>
    <n v="64"/>
    <s v="N/A"/>
    <s v="INVERSION"/>
    <s v="300-AO-1893-2022"/>
    <d v="2022-04-01T00:00:00"/>
    <n v="29988000"/>
    <s v="EQUIPLECO SOLUCION INTEGRAL SAS "/>
    <m/>
    <n v="11960"/>
    <m/>
    <m/>
    <s v="2022-062"/>
    <d v="2022-02-04T00:00:00"/>
    <m/>
    <s v="CALI"/>
    <s v="LOCAL"/>
    <m/>
    <n v="3.9866719822293097E-4"/>
    <n v="1"/>
    <n v="2"/>
    <n v="64"/>
  </r>
  <r>
    <n v="139"/>
    <s v="0182"/>
    <s v="GUENAA"/>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s v="LINA ECHAVARRIA"/>
    <d v="2022-02-25T00:00:00"/>
    <e v="#VALUE!"/>
    <e v="#VALUE!"/>
    <s v="NO"/>
    <s v="Cerrado"/>
    <x v="0"/>
    <m/>
    <s v="31 de marzo en recepcion de ofertas que se reciben el 6 de abril_x000a_7 de abril se cerro el proceso se solicito derivada para sacarlo como invitacion privada"/>
    <d v="2022-04-07T00:00:00"/>
    <x v="5"/>
    <s v="abr"/>
    <n v="48"/>
    <n v="41"/>
    <m/>
    <s v="FUNCIONAMIENTO"/>
    <m/>
    <m/>
    <m/>
    <m/>
    <m/>
    <m/>
    <n v="119987700"/>
    <m/>
    <m/>
    <m/>
    <m/>
    <m/>
    <m/>
    <m/>
    <m/>
    <n v="1"/>
    <m/>
    <m/>
  </r>
  <r>
    <n v="140"/>
    <s v="0183"/>
    <s v="GUENAA"/>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s v="LINA ECHAVARRIA"/>
    <d v="2022-02-25T00:00:00"/>
    <e v="#VALUE!"/>
    <e v="#VALUE!"/>
    <s v="NO"/>
    <s v="Cerrado"/>
    <x v="0"/>
    <m/>
    <s v="31 de marzo en recepcion de ofertas que se reciben el 7 de abril_x000a_7 de abril en evaluacion sobre 1"/>
    <d v="2022-04-07T00:00:00"/>
    <x v="5"/>
    <s v="abr"/>
    <n v="48"/>
    <n v="41"/>
    <m/>
    <s v="FUNCIONAMIENTO"/>
    <m/>
    <m/>
    <m/>
    <m/>
    <m/>
    <m/>
    <n v="99995700"/>
    <m/>
    <m/>
    <m/>
    <m/>
    <m/>
    <m/>
    <m/>
    <m/>
    <n v="1"/>
    <m/>
    <m/>
  </r>
  <r>
    <n v="141"/>
    <s v="0184"/>
    <s v="GG"/>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s v="LEIDY DIANA FRANCO"/>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x v="5"/>
    <s v="jun"/>
    <n v="107"/>
    <n v="99"/>
    <m/>
    <s v="FUNCIONAMIENTO"/>
    <m/>
    <m/>
    <m/>
    <m/>
    <m/>
    <m/>
    <n v="500000000"/>
    <m/>
    <m/>
    <m/>
    <m/>
    <m/>
    <m/>
    <m/>
    <m/>
    <n v="0"/>
    <m/>
    <m/>
  </r>
  <r>
    <n v="142"/>
    <s v="0185"/>
    <s v="GTI"/>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s v="HAROLD MONDRAGON"/>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x v="9"/>
    <m/>
    <n v="99"/>
    <n v="97"/>
    <s v="N/A"/>
    <s v="FUNCIONAMIENTO"/>
    <s v="200-AO-1934-2022"/>
    <d v="2022-05-26T00:00:00"/>
    <n v="300000000"/>
    <s v="PC COM SA"/>
    <n v="202205624"/>
    <n v="0"/>
    <m/>
    <m/>
    <s v="N/A"/>
    <s v="N/A"/>
    <m/>
    <s v="BOGOTA"/>
    <s v="NACIONAL "/>
    <m/>
    <n v="0"/>
    <n v="0"/>
    <n v="2"/>
    <n v="99"/>
  </r>
  <r>
    <n v="143"/>
    <s v="0186"/>
    <s v="GUENAA"/>
    <d v="2022-02-23T00:00:00"/>
    <x v="2"/>
    <s v="GAA0263"/>
    <s v="FR-300-GAA-0059-2022"/>
    <s v="N/A"/>
    <s v="Mantenimiento sistema Scada a estaciones y plantas de tratamiento de Agua Potable"/>
    <n v="179985537"/>
    <m/>
    <s v="900-IPU-0186-2022"/>
    <s v="IPU"/>
    <n v="202200892"/>
    <m/>
    <s v="N/A"/>
    <s v="N/A"/>
    <s v="Menor cuantia"/>
    <x v="0"/>
    <s v="HAROLD MONDRAGON"/>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x v="5"/>
    <s v="may"/>
    <n v="75"/>
    <n v="73"/>
    <m/>
    <s v="FUNCIONAMIENTO"/>
    <m/>
    <m/>
    <m/>
    <m/>
    <m/>
    <m/>
    <n v="179985537"/>
    <m/>
    <m/>
    <m/>
    <m/>
    <m/>
    <m/>
    <m/>
    <m/>
    <n v="1"/>
    <m/>
    <m/>
  </r>
  <r>
    <n v="144"/>
    <s v="0187"/>
    <s v="GUENAA"/>
    <d v="2022-02-23T00:00:00"/>
    <x v="2"/>
    <s v="GAA0253"/>
    <s v="FR-300-GAA-0061-2022"/>
    <s v="N/A"/>
    <s v="Suministro de dos variadores de velocidad de 1250 HP A 4160 Voltios Planta de Puerto Mallarino"/>
    <n v="3058210890"/>
    <m/>
    <s v="900-IPU-0187-2022"/>
    <s v="IPU"/>
    <n v="202202189"/>
    <m/>
    <s v="N/A"/>
    <s v="N/A"/>
    <s v="Mayor cuantia"/>
    <x v="0"/>
    <s v="JUAN PABLO QUIMBAYO"/>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x v="5"/>
    <s v="may"/>
    <n v="70"/>
    <n v="68"/>
    <m/>
    <s v="INVERSION"/>
    <m/>
    <m/>
    <m/>
    <m/>
    <m/>
    <m/>
    <n v="3058210890"/>
    <m/>
    <m/>
    <m/>
    <m/>
    <m/>
    <m/>
    <m/>
    <m/>
    <n v="1"/>
    <m/>
    <m/>
  </r>
  <r>
    <n v="145"/>
    <s v="0188"/>
    <s v="GUENAA"/>
    <d v="2022-02-23T00:00:00"/>
    <x v="2"/>
    <s v="GAA0258"/>
    <s v="FR-300-GAA-0062-2022"/>
    <s v="N/A"/>
    <s v="Suministro de unidades de bombeo sumergibles PTAP Puerto Mallarino"/>
    <n v="241153500"/>
    <m/>
    <s v="900-IPU-0188-2022"/>
    <m/>
    <n v="202202191"/>
    <m/>
    <s v="N/A"/>
    <s v="N/A"/>
    <s v="Menor cuantia"/>
    <x v="0"/>
    <s v="HAROLD MONDRAGON"/>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x v="9"/>
    <m/>
    <n v="125"/>
    <n v="123"/>
    <s v="N/A"/>
    <s v="INVERSION"/>
    <s v="300-AO-1953-2022"/>
    <d v="2022-05-18T00:00:00"/>
    <n v="238000000"/>
    <s v="CONSORCIO ETEL ABC"/>
    <n v="202205763"/>
    <n v="3153500"/>
    <m/>
    <m/>
    <m/>
    <m/>
    <m/>
    <s v="CALI"/>
    <s v="LOCAL"/>
    <m/>
    <n v="1.3076733283987171E-2"/>
    <n v="1"/>
    <n v="2"/>
    <n v="98"/>
  </r>
  <r>
    <n v="146"/>
    <s v="0189"/>
    <s v="GUENAA"/>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s v="HAROLD MONDRAGON"/>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x v="9"/>
    <m/>
    <n v="124"/>
    <n v="119"/>
    <s v="N/A"/>
    <s v="INVERSION"/>
    <s v="300-AO-1954-2022"/>
    <d v="2022-05-18T00:00:00"/>
    <n v="99999999"/>
    <s v="CONSORCIO ETEL ABC"/>
    <n v="202205764"/>
    <n v="1"/>
    <m/>
    <m/>
    <m/>
    <m/>
    <m/>
    <s v="CALI"/>
    <s v="LOCAL"/>
    <m/>
    <n v="1E-8"/>
    <n v="1"/>
    <n v="2"/>
    <n v="97"/>
  </r>
  <r>
    <n v="147"/>
    <s v="0190"/>
    <s v="GUENAA"/>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s v="ADALBERTO VALENCIA"/>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x v="5"/>
    <s v="may"/>
    <n v="84"/>
    <n v="84"/>
    <s v="G"/>
    <s v="INVERSION"/>
    <m/>
    <m/>
    <m/>
    <m/>
    <m/>
    <m/>
    <n v="109994080"/>
    <m/>
    <m/>
    <m/>
    <m/>
    <m/>
    <m/>
    <m/>
    <m/>
    <n v="1"/>
    <m/>
    <m/>
  </r>
  <r>
    <n v="148"/>
    <s v="0191"/>
    <s v="GUENAA"/>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s v="CRISTHIAN BURBANO"/>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x v="5"/>
    <s v="may"/>
    <n v="84"/>
    <n v="84"/>
    <m/>
    <s v="FUNCIONAMIENTO"/>
    <m/>
    <m/>
    <m/>
    <m/>
    <m/>
    <m/>
    <n v="149539291"/>
    <m/>
    <m/>
    <m/>
    <m/>
    <m/>
    <m/>
    <m/>
    <m/>
    <n v="1"/>
    <m/>
    <m/>
  </r>
  <r>
    <n v="149"/>
    <s v="0192"/>
    <s v="GTI"/>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s v="PABLO CAICEDO"/>
    <d v="2022-03-10T00:00:00"/>
    <n v="93"/>
    <n v="84"/>
    <s v="SI"/>
    <s v="Entregado al area"/>
    <x v="1"/>
    <s v="31 de marzo en respuesta a observaciones_x000a_20 DE ABRIL EN SOLICITUD DE SUBSANABLES_x000a_5 DE MAYO EN ESPERA DE LAS POLIZAS_x000a_16 DE MAYO ENTREGADO AL AREA"/>
    <m/>
    <d v="2022-05-16T00:00:00"/>
    <x v="8"/>
    <m/>
    <n v="76"/>
    <n v="67"/>
    <s v="N/A"/>
    <s v="FUNCIONAMIENTO"/>
    <s v="200-AO-1911-2022"/>
    <d v="2022-05-10T00:00:00"/>
    <n v="418285000"/>
    <s v="OPTIMA CONSULTING SAS"/>
    <m/>
    <n v="26715000"/>
    <m/>
    <m/>
    <s v="N/A"/>
    <s v="N/A"/>
    <m/>
    <s v="CALI"/>
    <s v="LOCAL"/>
    <m/>
    <n v="6.003370786516854E-2"/>
    <n v="0"/>
    <n v="2"/>
    <n v="76"/>
  </r>
  <r>
    <n v="150"/>
    <s v="0193"/>
    <s v="GTI"/>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s v="CRISTHIAN BURBANO"/>
    <d v="2022-03-02T00:00:00"/>
    <e v="#VALUE!"/>
    <e v="#VALUE!"/>
    <s v="NO"/>
    <s v="Cerrado"/>
    <x v="0"/>
    <m/>
    <s v="23 de marzo publicado_x000a_31 DE MARZO CERRADO PORQUE NO SE PRESENTO NINGUN OFERENTE"/>
    <d v="2022-03-31T00:00:00"/>
    <x v="5"/>
    <s v="mar"/>
    <n v="30"/>
    <n v="29"/>
    <m/>
    <s v="FUNCIONAMIENTO"/>
    <m/>
    <m/>
    <m/>
    <m/>
    <m/>
    <m/>
    <e v="#VALUE!"/>
    <m/>
    <m/>
    <m/>
    <m/>
    <m/>
    <m/>
    <m/>
    <m/>
    <n v="0"/>
    <m/>
    <m/>
  </r>
  <r>
    <n v="151"/>
    <s v="0194"/>
    <s v="GTI"/>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s v="PABLO CAICEDO"/>
    <d v="2022-03-02T00:00:00"/>
    <n v="93"/>
    <n v="92"/>
    <s v="SI"/>
    <s v="Entregado al area"/>
    <x v="1"/>
    <s v="31 de marzo listo para legalizar al area_x000a_1 DE ABRIL ENTREGADO AL AREA"/>
    <m/>
    <d v="2022-04-01T00:00:00"/>
    <x v="8"/>
    <m/>
    <n v="31"/>
    <n v="30"/>
    <s v="N/A"/>
    <s v="FUNCIONAMIENTO"/>
    <s v="200-AO-1888-2022"/>
    <d v="2022-03-29T00:00:00"/>
    <n v="2315471332"/>
    <s v="OPEN INTERNATIONAL SAS"/>
    <m/>
    <n v="0"/>
    <m/>
    <m/>
    <s v="N/A"/>
    <s v="N/A"/>
    <m/>
    <s v="CALI"/>
    <s v="LOCAL"/>
    <m/>
    <n v="0"/>
    <n v="0"/>
    <n v="2"/>
    <n v="31"/>
  </r>
  <r>
    <n v="152"/>
    <s v="0195"/>
    <s v="GTI"/>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s v="PABLO CAICEDO"/>
    <d v="2022-03-10T00:00:00"/>
    <n v="93"/>
    <n v="84"/>
    <s v="SI"/>
    <s v="Entregado al area"/>
    <x v="1"/>
    <s v="31 de marzo en espera de recepcion de ofertas el 5 de abril_x000a_20 DE ABRIL EN EVALIACION SOBRE 1_x000a_entregado al area_x000a_11 DE MAYO ENTREGADO AL AREA"/>
    <m/>
    <d v="2022-05-11T00:00:00"/>
    <x v="8"/>
    <m/>
    <n v="71"/>
    <n v="62"/>
    <s v="N/A"/>
    <s v="FUNCIONAMIENTO"/>
    <s v="200-AO-1910-2022"/>
    <d v="2022-05-03T00:00:00"/>
    <n v="213409840"/>
    <s v="VIVENTI SAS"/>
    <m/>
    <n v="16590160"/>
    <m/>
    <m/>
    <s v="N/A"/>
    <s v="N/A"/>
    <m/>
    <s v="CALI"/>
    <s v="LOCAL"/>
    <m/>
    <n v="7.2131130434782614E-2"/>
    <n v="0"/>
    <n v="2"/>
    <n v="71"/>
  </r>
  <r>
    <n v="153"/>
    <s v="0196"/>
    <s v="GUENAA"/>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s v="LINA ECHAVARRIA"/>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x v="9"/>
    <m/>
    <n v="92"/>
    <n v="91"/>
    <s v="N/A"/>
    <s v="FUNCIONAMIENTO"/>
    <s v="300-AO-1928-2022"/>
    <d v="2022-05-23T00:00:00"/>
    <n v="304121874"/>
    <s v="IMEVALLE SAS"/>
    <n v="202205486"/>
    <n v="81396"/>
    <m/>
    <m/>
    <m/>
    <m/>
    <m/>
    <s v="YUMBO"/>
    <s v="MUNICIPAL"/>
    <m/>
    <n v="2.6757108823978124E-4"/>
    <n v="1"/>
    <n v="2"/>
    <n v="92"/>
  </r>
  <r>
    <n v="154"/>
    <s v="0197"/>
    <s v="GUENE"/>
    <d v="2022-03-03T00:00:00"/>
    <x v="3"/>
    <s v="GE0303"/>
    <s v="FR-500-GE-0115-2022"/>
    <s v="N/A"/>
    <s v="Calibración de Instrumentos y Equipos de Laboratorio"/>
    <n v="40712800"/>
    <m/>
    <s v="900-IPU-0197-2022"/>
    <s v="IPU"/>
    <n v="202201683"/>
    <m/>
    <s v="N/A"/>
    <s v="N/A"/>
    <s v="Menor cuantia"/>
    <x v="0"/>
    <s v="JUAN DAVID GOMEZ"/>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x v="5"/>
    <s v="abr"/>
    <n v="35"/>
    <n v="35"/>
    <s v="G"/>
    <s v="FUNCIONAMIENTO"/>
    <m/>
    <m/>
    <m/>
    <m/>
    <m/>
    <m/>
    <n v="40712800"/>
    <m/>
    <m/>
    <m/>
    <m/>
    <m/>
    <m/>
    <m/>
    <m/>
    <n v="1"/>
    <m/>
    <m/>
  </r>
  <r>
    <n v="155"/>
    <s v="0198"/>
    <s v="GUENE"/>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s v="HAROLD MONDRAGON"/>
    <d v="2022-03-09T00:00:00"/>
    <e v="#VALUE!"/>
    <e v="#VALUE!"/>
    <s v="NO"/>
    <s v="Cerrado"/>
    <x v="0"/>
    <m/>
    <s v="23 de marzo en elaboracon de fpa e invitacion_x000a_31 DE MARZO PENDIENTE LA FIRMA DEL GERENTE PARA PUBLICAR_x000a_20 de abril se reciben ofertas_x000a_6 DEMAYO SE PUBLICO ACTA DE CIERRE"/>
    <d v="2022-05-06T00:00:00"/>
    <x v="5"/>
    <s v="may"/>
    <n v="64"/>
    <n v="58"/>
    <m/>
    <s v="FUNCIONAMIENTO"/>
    <m/>
    <m/>
    <m/>
    <m/>
    <m/>
    <m/>
    <n v="62492850"/>
    <m/>
    <m/>
    <m/>
    <m/>
    <m/>
    <m/>
    <m/>
    <m/>
    <n v="1"/>
    <m/>
    <m/>
  </r>
  <r>
    <n v="156"/>
    <s v="0199"/>
    <s v="GUENE"/>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s v="DIEGO PATIÑO"/>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x v="5"/>
    <s v="may"/>
    <n v="64"/>
    <n v="48"/>
    <m/>
    <s v="FUNCIONAMIENTO"/>
    <m/>
    <m/>
    <m/>
    <m/>
    <m/>
    <m/>
    <n v="26610066"/>
    <m/>
    <m/>
    <m/>
    <m/>
    <m/>
    <m/>
    <m/>
    <m/>
    <n v="1"/>
    <m/>
    <m/>
  </r>
  <r>
    <n v="157"/>
    <s v="0200"/>
    <s v="GUENAA"/>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s v="HAROLD MONDRAGON"/>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x v="1"/>
    <m/>
    <n v="153"/>
    <n v="132"/>
    <s v="N/A"/>
    <s v="INVERSION"/>
    <s v="300-AO-2024-2022"/>
    <d v="2022-07-15T00:00:00"/>
    <n v="376737827"/>
    <s v="EPRING SAS"/>
    <n v="202207211"/>
    <n v="3745378"/>
    <m/>
    <m/>
    <m/>
    <m/>
    <m/>
    <s v="CALI"/>
    <s v="LOCAL"/>
    <s v="UNIDAD DE TRATAMIENTO"/>
    <n v="9.8437406718123073E-3"/>
    <n v="1"/>
    <n v="2"/>
    <n v="119"/>
  </r>
  <r>
    <n v="158"/>
    <s v="0201"/>
    <s v="GUENAA"/>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s v="CRISTHIAN BURBANO"/>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x v="1"/>
    <m/>
    <n v="145"/>
    <n v="125"/>
    <s v="N/A"/>
    <s v="FUNCIONAMIENTO"/>
    <s v="300-AO-2038-2022"/>
    <d v="2022-07-19T00:00:00"/>
    <n v="109938905"/>
    <s v="INGENIERIA  Y REPRESENTACIONES SAS"/>
    <n v="202207206"/>
    <n v="5392881"/>
    <m/>
    <m/>
    <m/>
    <m/>
    <m/>
    <s v="CALI"/>
    <s v="LOCAL"/>
    <s v="UNIDAD DE BOMBEO"/>
    <n v="4.675971115196291E-2"/>
    <n v="1"/>
    <n v="2"/>
    <n v="138"/>
  </r>
  <r>
    <n v="159"/>
    <s v="0202"/>
    <s v="GUENAA"/>
    <d v="2022-03-11T00:00:00"/>
    <x v="3"/>
    <s v="GAA0272"/>
    <s v="FR-300-GAA-0068-2022"/>
    <s v="300-CMA-1974-2021"/>
    <s v="Suministro de hidrantes para la Unidad de Distribucción"/>
    <n v="108727408"/>
    <m/>
    <s v="N/A"/>
    <m/>
    <n v="202202570"/>
    <m/>
    <s v="N/A"/>
    <s v="N/A"/>
    <s v="N/A"/>
    <x v="1"/>
    <s v="LUCY ARBELAEZ"/>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x v="9"/>
    <m/>
    <n v="90"/>
    <n v="71"/>
    <s v="N/A"/>
    <s v="FUNCIONAMIENTO"/>
    <s v="300-CMA-1974-2021/300-AO-1935-2022"/>
    <d v="2022-05-26T00:00:00"/>
    <n v="108727408"/>
    <s v="EQUIPOS Y HERRAMIENTAS INDUSTRIALES SAS"/>
    <n v="202205626"/>
    <n v="0"/>
    <m/>
    <m/>
    <m/>
    <m/>
    <m/>
    <s v="CALI"/>
    <s v="LOCAL"/>
    <m/>
    <n v="0"/>
    <n v="1"/>
    <n v="0"/>
    <n v="90"/>
  </r>
  <r>
    <n v="160"/>
    <s v="0203"/>
    <s v="GUENAA"/>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s v="HAROLD MONDRAGON"/>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x v="10"/>
    <m/>
    <n v="138"/>
    <n v="120"/>
    <s v="N/A"/>
    <s v="FUNCIONAMIENTO"/>
    <s v="300-AO-2025-2022"/>
    <d v="2022-07-15T00:00:00"/>
    <n v="299906870"/>
    <s v="SAUFER SOLUCIONES SA"/>
    <n v="202207213"/>
    <n v="51201"/>
    <m/>
    <m/>
    <m/>
    <m/>
    <m/>
    <s v="BOGOTA"/>
    <s v="NACIONAL"/>
    <s v="UNIDAD DE BOMBEO"/>
    <n v="1.7069385674239784E-4"/>
    <n v="1"/>
    <n v="2"/>
    <n v="103"/>
  </r>
  <r>
    <n v="161"/>
    <s v="0204"/>
    <s v="GUENAA"/>
    <d v="2022-03-11T00:00:00"/>
    <x v="3"/>
    <s v="GAA0387"/>
    <s v="FR-300-GAA-0075-2022"/>
    <s v="N/A"/>
    <s v="Suministro de lubricantes para todas las estaciones de bombeo de aguas lluvias y/o residuales"/>
    <n v="52771303"/>
    <m/>
    <s v="900-IPU-0204-2022"/>
    <s v="IPU"/>
    <n v="202201835"/>
    <m/>
    <s v="N/A"/>
    <s v="N/A"/>
    <s v="Menor cuantia"/>
    <x v="0"/>
    <s v="JULIO GARCIA"/>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x v="5"/>
    <s v="jun"/>
    <n v="111"/>
    <n v="98"/>
    <m/>
    <s v="FUNCIONAMIENTO"/>
    <m/>
    <m/>
    <m/>
    <m/>
    <m/>
    <m/>
    <e v="#VALUE!"/>
    <m/>
    <m/>
    <m/>
    <m/>
    <m/>
    <m/>
    <m/>
    <m/>
    <n v="1"/>
    <m/>
    <m/>
  </r>
  <r>
    <n v="162"/>
    <s v="0205"/>
    <s v="GUENAA"/>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s v="SIN ASIGNAR"/>
    <m/>
    <e v="#VALUE!"/>
    <e v="#VALUE!"/>
    <s v="NO"/>
    <s v="Devuelto"/>
    <x v="2"/>
    <m/>
    <s v="DEVUELTO EL 23 DE MARZO 2022 POR SOLICITUD DEL AREA"/>
    <d v="2022-03-23T00:00:00"/>
    <x v="5"/>
    <s v="mar"/>
    <n v="9"/>
    <n v="44643"/>
    <m/>
    <s v="INVERSION"/>
    <m/>
    <m/>
    <m/>
    <m/>
    <m/>
    <e v="#VALUE!"/>
    <m/>
    <m/>
    <m/>
    <m/>
    <m/>
    <m/>
    <m/>
    <m/>
    <m/>
    <n v="1"/>
    <m/>
    <m/>
  </r>
  <r>
    <n v="163"/>
    <s v="0206"/>
    <s v="GUENAA"/>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s v="HAROLD MONDRAGON"/>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x v="1"/>
    <m/>
    <n v="163"/>
    <n v="148"/>
    <s v="N/A"/>
    <s v="FUNCIONAMIENTO"/>
    <s v="300-AO-2116-2022"/>
    <d v="2022-07-22T00:00:00"/>
    <n v="794168337"/>
    <s v="UNION TEMPORAL MANTENIMIENTO  EBAR 2022"/>
    <n v="202207840"/>
    <n v="5130863"/>
    <m/>
    <m/>
    <m/>
    <m/>
    <m/>
    <s v="CALI"/>
    <s v="LOCAL"/>
    <s v="UNIDAD DE BOMBEO"/>
    <n v="6.4192019709265313E-3"/>
    <n v="1"/>
    <n v="2"/>
    <n v="129"/>
  </r>
  <r>
    <n v="164"/>
    <s v="0207"/>
    <s v="GUENAA"/>
    <d v="2022-03-14T00:00:00"/>
    <x v="3"/>
    <s v="GAA0394"/>
    <s v="FR-300-GAA-0076-2022"/>
    <s v="N/A"/>
    <s v="Suministro de equipos y elementos para la medición de variables para el proceso de tratamiento de la PTAR-C"/>
    <n v="207605670"/>
    <m/>
    <s v="900-IPU-0207-2022"/>
    <s v="IPU"/>
    <n v="202202669"/>
    <m/>
    <s v="N/A"/>
    <s v="N/A"/>
    <s v="Menor cuantia"/>
    <x v="0"/>
    <s v="JULIO GARCIA"/>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x v="5"/>
    <s v="jun"/>
    <n v="86"/>
    <n v="71"/>
    <m/>
    <s v="INVERSION"/>
    <m/>
    <m/>
    <m/>
    <m/>
    <m/>
    <m/>
    <e v="#VALUE!"/>
    <m/>
    <m/>
    <m/>
    <m/>
    <m/>
    <m/>
    <m/>
    <m/>
    <n v="1"/>
    <m/>
    <m/>
  </r>
  <r>
    <n v="165"/>
    <s v="0208"/>
    <s v="GUENAA"/>
    <d v="2022-03-15T00:00:00"/>
    <x v="3"/>
    <s v="GAA0652"/>
    <s v="FR-300-GAA-0078-2022"/>
    <s v="300-CMA-1243-2020"/>
    <s v="Suministro de Cloro, para ser utilizado en el tratamiento de agua potable para consumo humano"/>
    <n v="1451921415"/>
    <s v="90 dias"/>
    <s v="N/A"/>
    <m/>
    <n v="202202688"/>
    <n v="11870525408"/>
    <s v="N/A"/>
    <s v="N/A"/>
    <s v="N/A"/>
    <x v="1"/>
    <s v="LUCY ARBELAEZ"/>
    <d v="2022-03-15T00:00:00"/>
    <n v="79"/>
    <n v="79"/>
    <s v="SI"/>
    <s v="Entregado al area"/>
    <x v="1"/>
    <s v="31 DE MARZO EN APROBACION DE GARANTIAS_x000a_7 de abril entregado al area"/>
    <m/>
    <d v="2022-04-07T00:00:00"/>
    <x v="8"/>
    <m/>
    <n v="23"/>
    <n v="23"/>
    <s v="N/A"/>
    <s v="FUNCIONAMIENTO"/>
    <s v="300-CMA-1243-2020/300-AO-1890-2022"/>
    <d v="2022-03-29T00:00:00"/>
    <n v="1451111417"/>
    <s v="QUIMPAC DE COLOMBIA SA"/>
    <m/>
    <n v="809998"/>
    <m/>
    <m/>
    <s v="2022-107"/>
    <d v="2022-03-08T00:00:00"/>
    <m/>
    <s v="YUMBO"/>
    <s v="MUNICIPAL"/>
    <m/>
    <n v="5.5788005578800558E-4"/>
    <n v="1"/>
    <n v="0"/>
    <n v="23"/>
  </r>
  <r>
    <n v="166"/>
    <s v="0209"/>
    <s v="GUENAA"/>
    <d v="2022-03-15T00:00:00"/>
    <x v="3"/>
    <s v="GAA0654"/>
    <s v="FR-300-GAA-0079-2022"/>
    <s v="300-CMA-1246-2020"/>
    <s v="Suministro de Coagulante para las plantas Río Cauca, Río Cali, La Reforma y La Rivera: Hidroxicloruro de Aluminio."/>
    <n v="1010081985"/>
    <s v="90 dias"/>
    <s v="N/A"/>
    <m/>
    <n v="202202688"/>
    <n v="1166236926"/>
    <s v="N/A"/>
    <s v="N/A"/>
    <s v="N/A"/>
    <x v="1"/>
    <s v="LUCY ARBELAEZ"/>
    <d v="2022-03-15T00:00:00"/>
    <n v="79"/>
    <n v="79"/>
    <s v="SI"/>
    <s v="Entregado al area"/>
    <x v="1"/>
    <s v="31 DE MARZO EN EVALUACION_x000a_20 DE ABRIL ENTREGADO AL AREA"/>
    <m/>
    <d v="2022-04-20T00:00:00"/>
    <x v="8"/>
    <m/>
    <n v="36"/>
    <n v="36"/>
    <s v="N/A"/>
    <s v="FUNCIONAMIENTO"/>
    <s v="300-CMA-1246-2020/300-AO-1902-2022"/>
    <d v="2022-04-07T00:00:00"/>
    <n v="980029959"/>
    <s v="QUIMPAC DE COLOMBIA SA"/>
    <m/>
    <n v="30052026"/>
    <m/>
    <m/>
    <s v="2022-105"/>
    <d v="2022-03-08T00:00:00"/>
    <m/>
    <s v="YUMBO"/>
    <s v="MUNICIPAL"/>
    <m/>
    <n v="2.9752066115702479E-2"/>
    <n v="1"/>
    <n v="0"/>
    <n v="36"/>
  </r>
  <r>
    <n v="167"/>
    <s v="0210"/>
    <s v="GUENAA"/>
    <d v="2022-03-15T00:00:00"/>
    <x v="3"/>
    <s v="GAA0653"/>
    <s v="FR-300-GAA-0080-2022"/>
    <s v="300-CMA-1245-2020"/>
    <s v="Suministro de Coagulante para ser utilizado en el tratamiento de Agua Potable para consumo humano"/>
    <n v="2781245550"/>
    <s v="90 dias"/>
    <s v="N/A"/>
    <m/>
    <n v="202202688"/>
    <n v="2144676418"/>
    <s v="N/A"/>
    <s v="N/A"/>
    <s v="N/A"/>
    <x v="1"/>
    <s v="LUCY ARBELAEZ"/>
    <d v="2022-03-15T00:00:00"/>
    <n v="79"/>
    <n v="79"/>
    <s v="SI"/>
    <s v="Entregado al area"/>
    <x v="1"/>
    <s v="31 DE MARZO EN EVALUACION"/>
    <m/>
    <d v="2022-04-20T00:00:00"/>
    <x v="8"/>
    <m/>
    <n v="36"/>
    <n v="36"/>
    <s v="N/A"/>
    <s v="FUNCIONAMIENTO"/>
    <s v="300-CMA-1245-2020/300-AO-1901-2022"/>
    <d v="2022-04-07T00:00:00"/>
    <n v="1802080450"/>
    <s v="QUIMPAC DE COLOMBIA SA"/>
    <m/>
    <n v="979165100"/>
    <m/>
    <m/>
    <s v="N/A"/>
    <s v="N/A"/>
    <m/>
    <s v="YUMBO"/>
    <s v="MUNICIPAL"/>
    <m/>
    <n v="0.35205992509363299"/>
    <n v="1"/>
    <n v="0"/>
    <n v="36"/>
  </r>
  <r>
    <n v="168"/>
    <s v="0211"/>
    <s v="GUENAA"/>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s v="CENELIA CRUZ"/>
    <d v="2022-03-15T00:00:00"/>
    <n v="79"/>
    <n v="79"/>
    <s v="SI"/>
    <s v="Entregado al area"/>
    <x v="1"/>
    <s v="31 de marzo en aceptacion de la oferta_x000a_5 de abril en rp_x000a_19 en abril en espera de las polizas por parte del proveedor_x000a_03 DE MAYO ENTREGADO AL AREA"/>
    <m/>
    <d v="2022-05-03T00:00:00"/>
    <x v="8"/>
    <m/>
    <n v="49"/>
    <n v="49"/>
    <s v="N/A"/>
    <s v="FUNCIONAMIENTO"/>
    <s v="300-CMA-1241-2020/300-AO-1896-2022"/>
    <d v="2022-04-04T00:00:00"/>
    <n v="349951849"/>
    <s v="SULFOQUIMICA SA"/>
    <m/>
    <n v="394090"/>
    <m/>
    <m/>
    <m/>
    <m/>
    <m/>
    <s v="ITAGUI"/>
    <s v="NACIONAL"/>
    <m/>
    <n v="1.1248596205363751E-3"/>
    <n v="1"/>
    <n v="0"/>
    <n v="49"/>
  </r>
  <r>
    <n v="169"/>
    <s v="0212"/>
    <s v="GUENAA"/>
    <d v="2022-03-15T00:00:00"/>
    <x v="3"/>
    <s v="GAA0219"/>
    <s v="FR-300-GAA-0082-2022"/>
    <s v="CMA-1246-2020"/>
    <s v="Suministro de Hipoclorito de Calcio para ser utilizado en el tratamiento de Agua Potable para consumo humano"/>
    <n v="13554576"/>
    <m/>
    <s v="N/A"/>
    <m/>
    <n v="202200896"/>
    <m/>
    <s v="N/A"/>
    <s v="N/A"/>
    <s v="Menor cuantia"/>
    <x v="1"/>
    <s v="LINA ECHAVARRIA"/>
    <d v="2022-03-24T00:00:00"/>
    <n v="-44635"/>
    <n v="-44644"/>
    <s v="SI"/>
    <s v="Entregado al area"/>
    <x v="1"/>
    <s v="5 de abril en solicitud de conceptos_x000a_20 de abril en revision de la fpa y cc_x000a_11 DE MAYO CERRADO_x000a_Se tramito como el contrato marco"/>
    <m/>
    <d v="2022-06-29T00:00:00"/>
    <x v="10"/>
    <m/>
    <n v="106"/>
    <n v="97"/>
    <s v="N/A"/>
    <s v="FUNCIONAMIENTO"/>
    <s v="CMA-1246-2020/300-AO-1957-2022"/>
    <d v="2022-06-13T00:00:00"/>
    <n v="11067000"/>
    <s v="QUIMPAC DE COLOMBIA SA"/>
    <n v="202205765"/>
    <n v="2487576"/>
    <m/>
    <m/>
    <m/>
    <m/>
    <m/>
    <s v="YUMBO"/>
    <s v="MUNICIPAL"/>
    <s v="UNIDAD DE PRODUCCIÓN AGUA POTABLE"/>
    <n v="0.18352296670880741"/>
    <n v="1"/>
    <n v="0"/>
    <n v="106"/>
  </r>
  <r>
    <n v="170"/>
    <s v="0213"/>
    <s v="GAGHA"/>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s v="LEIDY DIANA FRANCO"/>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x v="5"/>
    <s v="jun"/>
    <n v="84"/>
    <n v="75"/>
    <m/>
    <s v="FUNCIONAMIENTO"/>
    <m/>
    <m/>
    <m/>
    <m/>
    <m/>
    <m/>
    <n v="226560000"/>
    <m/>
    <m/>
    <m/>
    <m/>
    <m/>
    <m/>
    <m/>
    <m/>
    <n v="0"/>
    <m/>
    <m/>
  </r>
  <r>
    <n v="171"/>
    <s v="0214"/>
    <s v="GUENE"/>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s v="ESTEFANIA SANCHEZ"/>
    <d v="2022-03-17T00:00:00"/>
    <n v="77"/>
    <n v="77"/>
    <s v="SI"/>
    <s v="Entregado al area"/>
    <x v="1"/>
    <s v="23 de marzo a la espera de la firma de la jefe sandra de la fpa e invitacion_x000a_26 DE ABRIL ENTREGADO AL AREA"/>
    <m/>
    <d v="2022-04-26T00:00:00"/>
    <x v="8"/>
    <m/>
    <n v="40"/>
    <n v="40"/>
    <s v="N/A"/>
    <s v="INVERSION"/>
    <s v="500-CMA-1743-2021/500-AO-1900-2022"/>
    <d v="2022-04-07T00:00:00"/>
    <n v="2369197180"/>
    <s v="CENTELSA SA"/>
    <m/>
    <n v="124694588.42105293"/>
    <m/>
    <m/>
    <s v="2022-073"/>
    <d v="2022-02-18T00:00:00"/>
    <m/>
    <s v="YUMBO"/>
    <s v="NACIONAL"/>
    <m/>
    <n v="5.0000000000000114E-2"/>
    <n v="1"/>
    <n v="0"/>
    <n v="40"/>
  </r>
  <r>
    <n v="172"/>
    <s v="0215"/>
    <s v="GTI"/>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s v="PABLO CAICEDO"/>
    <d v="2022-03-17T00:00:00"/>
    <n v="77"/>
    <n v="77"/>
    <s v="SI"/>
    <s v="Entregado al area"/>
    <x v="1"/>
    <s v="31 de marzo evaluacion sobre 1_x000a_20 DE ABRIL EN SOLICITUD DE RP Y POLIZAS_x000a_27 de abril entregado al area"/>
    <m/>
    <d v="2022-04-27T00:00:00"/>
    <x v="8"/>
    <m/>
    <n v="41"/>
    <n v="41"/>
    <s v="N/A"/>
    <s v="FUNCIONAMIENTO"/>
    <s v="200-AO-1903-2022"/>
    <d v="2022-04-20T00:00:00"/>
    <n v="1215989566"/>
    <s v="THE BEST EXPERIENCE IN TECHNOLOGY SAS"/>
    <m/>
    <n v="6360791"/>
    <m/>
    <m/>
    <s v="N/A"/>
    <s v="N/A"/>
    <m/>
    <s v="BOGOTA"/>
    <s v="NACIONAL"/>
    <m/>
    <n v="5.2037379983356112E-3"/>
    <n v="0"/>
    <n v="2"/>
    <n v="41"/>
  </r>
  <r>
    <n v="173"/>
    <s v="0216"/>
    <s v="GUENT"/>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s v="LUCY ARBELAEZ"/>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x v="9"/>
    <m/>
    <n v="88"/>
    <n v="87"/>
    <s v="N/A"/>
    <s v="FUNCIONAMIENTO"/>
    <s v="300-CMA-1974-2020/400-AO-1932-2022_x000a__x000a_300-CMA-1974-2020/400-AO-1933-2022"/>
    <d v="2022-05-25T00:00:00"/>
    <n v="83411573"/>
    <s v="EQUIPOS Y HERRAMIENTAS INDUSTRIALES SAS"/>
    <n v="202205613"/>
    <n v="2908703"/>
    <m/>
    <m/>
    <m/>
    <m/>
    <m/>
    <s v="CALI"/>
    <s v="LOCAL"/>
    <m/>
    <n v="3.3696636929196104E-2"/>
    <n v="1"/>
    <n v="0"/>
    <n v="88"/>
  </r>
  <r>
    <n v="174"/>
    <s v="0217"/>
    <s v="GUENAA"/>
    <d v="2022-03-22T00:00:00"/>
    <x v="3"/>
    <s v="GAA0259"/>
    <s v="FR-300-GAA-0086-2022"/>
    <s v="N/A"/>
    <s v="Mantenimiento de equipos electromecanicos de las PTAP´S Río Cali y Rivera"/>
    <n v="219998971"/>
    <s v="31 DE DICIEMBRE 2022"/>
    <s v="900-IPU-0217-2022"/>
    <m/>
    <n v="202200890"/>
    <n v="219998971"/>
    <s v="N/A"/>
    <s v="N/A"/>
    <s v="Menor cuantia"/>
    <x v="0"/>
    <s v="HAROLD MONDRAGON"/>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x v="11"/>
    <m/>
    <n v="164"/>
    <n v="157"/>
    <s v="N/A"/>
    <s v="FUNCIONAMIENTO"/>
    <s v="300-AO-2217-2022"/>
    <d v="2022-08-19T00:00:00"/>
    <n v="215951252"/>
    <s v="UNION TEMPORAL OVERHAUL 2022"/>
    <n v="202208265"/>
    <n v="4047719"/>
    <m/>
    <m/>
    <m/>
    <m/>
    <m/>
    <s v="CALI"/>
    <s v="LOCAL"/>
    <s v="UNIDAD DE MANTENIMIENTO"/>
    <n v="1.8398808783519266E-2"/>
    <n v="1"/>
    <n v="2"/>
    <n v="109"/>
  </r>
  <r>
    <n v="175"/>
    <s v="0218"/>
    <s v="GUENAA"/>
    <d v="2022-03-23T00:00:00"/>
    <x v="3"/>
    <s v="GAA0270"/>
    <s v="FR-300-GAA-0088-2022"/>
    <s v="300-CMA-1794-2021"/>
    <s v="Suministro de elementos de ferreteria para la unidad de distribucción"/>
    <n v="66554963"/>
    <m/>
    <s v="N/A"/>
    <m/>
    <n v="202201161"/>
    <m/>
    <s v="N/A"/>
    <s v="N/A"/>
    <s v="N/A"/>
    <x v="1"/>
    <s v="LUCY ARBELAEZ"/>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x v="10"/>
    <m/>
    <n v="78"/>
    <n v="78"/>
    <s v="N/A"/>
    <s v="FUNCIONAMIENTO"/>
    <s v="300-CMA-1974-2021/300-AO-1935-2022"/>
    <d v="2022-05-26T00:00:00"/>
    <n v="39751349"/>
    <s v="EQUIPOS Y HERRAMIENTAS INDUSTRIALES SAS"/>
    <n v="202205626"/>
    <n v="26803614"/>
    <m/>
    <m/>
    <m/>
    <m/>
    <m/>
    <s v="CALI"/>
    <s v="LOCAL"/>
    <s v="UENAA U. DISTRIBUCIÓN"/>
    <n v="0.40272900459729805"/>
    <n v="1"/>
    <n v="0"/>
    <n v="78"/>
  </r>
  <r>
    <n v="176"/>
    <s v="0219"/>
    <s v="GUENE"/>
    <d v="2022-03-25T00:00:00"/>
    <x v="3"/>
    <s v="GE0314"/>
    <s v="FR-500-GE-0190-2022"/>
    <s v="N/A"/>
    <s v="Mantenimiento general de transformadores de potencia de las Subestaciones de Energía"/>
    <n v="535500000"/>
    <m/>
    <s v="900-IPU-0219-2022"/>
    <s v="IPU"/>
    <n v="202203018"/>
    <m/>
    <s v="N/A"/>
    <s v="N/A"/>
    <s v="Mayor cuantia"/>
    <x v="0"/>
    <s v="JULIO GARCIA"/>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x v="5"/>
    <s v="jul"/>
    <n v="105"/>
    <n v="95"/>
    <m/>
    <s v="FUNCIONAMIENTO"/>
    <m/>
    <m/>
    <m/>
    <m/>
    <m/>
    <m/>
    <e v="#VALUE!"/>
    <m/>
    <m/>
    <m/>
    <m/>
    <m/>
    <m/>
    <m/>
    <m/>
    <n v="1"/>
    <m/>
    <m/>
  </r>
  <r>
    <n v="177"/>
    <s v="0220"/>
    <s v="GAGHA"/>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s v="PAOLA BELTRAN"/>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x v="11"/>
    <m/>
    <n v="171"/>
    <n v="168"/>
    <s v="N/A"/>
    <s v="FUNCIONAMIENTO"/>
    <s v="800-AO-2034-2022"/>
    <d v="2022-07-19T00:00:00"/>
    <n v="1042387972"/>
    <s v="VICKBAY SAS"/>
    <m/>
    <n v="2023028"/>
    <m/>
    <m/>
    <m/>
    <m/>
    <m/>
    <m/>
    <m/>
    <s v="UNIDAD SEGURIDAD Y SALUD EN EL TRABAJO"/>
    <n v="1.9370037274597835E-3"/>
    <n v="0"/>
    <n v="2"/>
    <n v="145"/>
  </r>
  <r>
    <n v="178"/>
    <s v="0221"/>
    <s v="GUENT"/>
    <d v="2022-03-25T00:00:00"/>
    <x v="3"/>
    <s v="GT0229"/>
    <s v="FR-400-GT-0155-2022"/>
    <s v="N/A"/>
    <s v="Suministro de Equipos Terminales CPE con tecnología ADSL2+/VDSL2 para el mercado masivo y comercial de EMCALI"/>
    <n v="1000000000"/>
    <s v="90 dias"/>
    <s v="900-IPU-0221-2022"/>
    <m/>
    <n v="202202954"/>
    <m/>
    <s v="N/A"/>
    <s v="N/A"/>
    <s v="Mayor cuantia"/>
    <x v="0"/>
    <s v="HAROLD MONDRAGON"/>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x v="1"/>
    <m/>
    <n v="145"/>
    <n v="142"/>
    <s v="C"/>
    <s v="INVERSION"/>
    <s v="400-AO1962-2022"/>
    <d v="2022-06-16T00:00:00"/>
    <n v="958964118"/>
    <s v="ZTE  CORPORATION SUCURSAL COLOMBIA"/>
    <n v="202207824"/>
    <n v="41035882"/>
    <m/>
    <m/>
    <m/>
    <m/>
    <m/>
    <s v="BOGOTA"/>
    <s v="NACIONAL"/>
    <s v="SUB GERENCIA COMERCIAL"/>
    <n v="4.1035882000000003E-2"/>
    <n v="1"/>
    <n v="2"/>
    <n v="99"/>
  </r>
  <r>
    <n v="179"/>
    <s v="0222"/>
    <s v="GUENAA"/>
    <d v="2022-03-25T00:00:00"/>
    <x v="3"/>
    <s v="GAA0646"/>
    <s v="FR-300-GAA-0097-2022"/>
    <s v="300-CMA-1974-2020"/>
    <s v="Suministro de elementos de Ferretería"/>
    <n v="1053865028"/>
    <s v="4 Meses"/>
    <s v="N/A"/>
    <m/>
    <n v="202202078"/>
    <m/>
    <s v="N/A"/>
    <s v="N/A"/>
    <s v="N/A"/>
    <x v="1"/>
    <s v="LUCY ARBELAEZ"/>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x v="9"/>
    <m/>
    <n v="73"/>
    <n v="70"/>
    <s v="N/A"/>
    <s v="FUNCIONAMIENTO"/>
    <s v="300-CMA-1974-2020/300-AO-1926-2022"/>
    <d v="2022-05-23T00:00:00"/>
    <n v="985518328"/>
    <s v="EQUIPOS Y HERRAMIENTAS INDUSTRIALES SAS"/>
    <n v="202205513"/>
    <n v="68346700"/>
    <m/>
    <m/>
    <m/>
    <m/>
    <m/>
    <s v="CALI"/>
    <s v="LOCAL"/>
    <m/>
    <n v="6.4853371337036156E-2"/>
    <n v="1"/>
    <n v="0"/>
    <n v="73"/>
  </r>
  <r>
    <n v="180"/>
    <s v="0223"/>
    <s v="GUENAA"/>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s v="LUCY ARBELAEZ"/>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x v="9"/>
    <m/>
    <n v="77"/>
    <n v="74"/>
    <s v="N/A"/>
    <s v="FUNCIONAMIENTO"/>
    <s v="300-CMA-1974-2020/300-AO-1938-2022_x000a_300-CMA-1974-2020/300-AO-1936-2022"/>
    <d v="2022-05-26T00:00:00"/>
    <n v="2993832375"/>
    <s v="EQUIPOS Y HERRAMIENTAS INDUSTRIALES SAS"/>
    <s v="202205622_x000a_202205637"/>
    <n v="117827316"/>
    <m/>
    <m/>
    <m/>
    <m/>
    <m/>
    <s v="CALI"/>
    <s v="LOCAL"/>
    <m/>
    <n v="3.7866388905186996E-2"/>
    <n v="1"/>
    <n v="0"/>
    <n v="77"/>
  </r>
  <r>
    <n v="181"/>
    <s v="0224"/>
    <s v="GUENAA"/>
    <d v="2022-03-28T00:00:00"/>
    <x v="3"/>
    <s v="GAA0255"/>
    <s v="FR-300-GAA-0090-2022"/>
    <s v="N/A"/>
    <s v="Reparación descargas de reactores 1 y 2 PTAP Río Cauca"/>
    <n v="425201539"/>
    <s v="28 DE NOVIEMBRE 2022"/>
    <s v="900-IPU-0224-2022"/>
    <m/>
    <n v="202200888"/>
    <n v="425201539"/>
    <s v="N/A"/>
    <s v="N/A"/>
    <s v="Menor cuantia"/>
    <x v="0"/>
    <s v="HAROLD MONDRAGON"/>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x v="1"/>
    <m/>
    <n v="148"/>
    <n v="141"/>
    <s v="G"/>
    <s v="FUNCIONAMIENTO"/>
    <s v="300-AO-2096-2022"/>
    <d v="2022-08-10T00:00:00"/>
    <n v="416649663"/>
    <s v="CABARCO INGENIERIA SAS"/>
    <n v="202207863"/>
    <n v="8551876"/>
    <m/>
    <m/>
    <s v="N/A"/>
    <s v="N/A"/>
    <m/>
    <m/>
    <m/>
    <s v="UNIDAD DE MANTENIMIENTO"/>
    <n v="2.0112523628471626E-2"/>
    <n v="1"/>
    <n v="2"/>
    <n v="94"/>
  </r>
  <r>
    <n v="182"/>
    <s v="0225"/>
    <s v="GUENAA"/>
    <d v="2022-03-28T00:00:00"/>
    <x v="3"/>
    <s v="GAA0554"/>
    <s v="FR-300-GAA-0101-2022"/>
    <s v="300-CMA-1974-2020"/>
    <s v="Suministro de materiales de ferretería para la Unidad Control Integral de Perdidas de Agua/Subgerencia de Gestión Comercial"/>
    <n v="2583811038"/>
    <s v="90 Dias"/>
    <s v="N/A"/>
    <m/>
    <n v="202202749"/>
    <m/>
    <s v="N/A"/>
    <s v="N/A"/>
    <s v="N/A"/>
    <x v="1"/>
    <s v="LUCY ARBELAEZ"/>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77"/>
    <n v="76"/>
    <s v="N/A"/>
    <s v="FUNCIONAMIENTO"/>
    <s v="300-CMA-1974-2020/300-AO-1942-2022"/>
    <d v="2022-05-31T00:00:00"/>
    <n v="2583811038"/>
    <s v="EQUIPOS Y HERRAMIENTAS INDUSTRIALES SAS"/>
    <n v="202205666"/>
    <n v="0"/>
    <m/>
    <m/>
    <m/>
    <m/>
    <m/>
    <s v="EQUIPOS Y HERRAMIENTAS INDUSTRIALES SAS"/>
    <s v="CALI"/>
    <m/>
    <n v="0"/>
    <n v="1"/>
    <n v="0"/>
    <n v="77"/>
  </r>
  <r>
    <n v="183"/>
    <s v="0226"/>
    <s v="GUENAA"/>
    <d v="2022-03-28T00:00:00"/>
    <x v="3"/>
    <s v="GAA0621"/>
    <s v="FR-300-GAA-0093-2022"/>
    <s v="N/A"/>
    <s v="Mantenimiento de seis (6) celdas 8DA10 SIEMENS de la PTAP Planta Río Cauca (OVERHOULT CELDAS SUBESTACIÓN PLANTA RIO CAUCA)"/>
    <n v="151608261"/>
    <s v="60 DIAS"/>
    <s v="900-IPU-0226-2022"/>
    <m/>
    <n v="202202904"/>
    <m/>
    <s v="N/A"/>
    <s v="N/A"/>
    <s v="Menor cuantia"/>
    <x v="0"/>
    <s v="HAROLD MONDRAGON"/>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x v="1"/>
    <m/>
    <n v="150"/>
    <n v="143"/>
    <s v="N/A"/>
    <s v="INVERSION"/>
    <s v="300-AO-2048-2022"/>
    <d v="2022-07-25T00:00:00"/>
    <n v="151608261"/>
    <s v="SIEMENS  SAS"/>
    <n v="202207238"/>
    <n v="0"/>
    <m/>
    <m/>
    <m/>
    <m/>
    <m/>
    <s v="TENJO"/>
    <s v="CUNDINAMARCA"/>
    <s v="UNIDAD DE MANTENIMIENTO"/>
    <n v="0"/>
    <n v="1"/>
    <n v="2"/>
    <n v="124"/>
  </r>
  <r>
    <n v="184"/>
    <s v="0227"/>
    <s v="GUENAA"/>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s v="CRISTHIAN BURBANO"/>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x v="5"/>
    <s v="jul"/>
    <n v="109"/>
    <n v="102"/>
    <s v="B"/>
    <s v="FUNCIONAMIENTO"/>
    <m/>
    <m/>
    <m/>
    <m/>
    <m/>
    <m/>
    <e v="#VALUE!"/>
    <m/>
    <m/>
    <m/>
    <m/>
    <m/>
    <m/>
    <m/>
    <m/>
    <n v="1"/>
    <m/>
    <m/>
  </r>
  <r>
    <n v="185"/>
    <s v="0228"/>
    <s v="GUENAA"/>
    <d v="2022-03-28T00:00:00"/>
    <x v="3"/>
    <s v="GAA0552_x000a_GAA0553"/>
    <s v="FR-300-GAA-0100-2022"/>
    <s v="300-CMA-1974-2020"/>
    <s v="Suministro de equipos menores y herramientas"/>
    <n v="235970077"/>
    <m/>
    <s v="N/A"/>
    <m/>
    <s v="202203077_x000a_202203078"/>
    <m/>
    <s v="N/A"/>
    <s v="N/A"/>
    <s v="N/A"/>
    <x v="1"/>
    <s v="LUCY ARBELAEZ"/>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x v="1"/>
    <m/>
    <n v="-44648"/>
    <n v="-44649"/>
    <s v="N/A"/>
    <s v="FUNCIONAMIENTO"/>
    <s v="CMA-1974-2020-300-AO-1943-2022"/>
    <m/>
    <n v="207306980"/>
    <s v="Equipos y Herramientas Industriales SAS"/>
    <m/>
    <n v="28663097"/>
    <m/>
    <m/>
    <m/>
    <m/>
    <m/>
    <m/>
    <m/>
    <s v="UNIDAD CONTROL INTEGRAL DE PERDIDAS DE AGUA"/>
    <n v="0.12146920221583858"/>
    <n v="1"/>
    <n v="0"/>
    <n v="77"/>
  </r>
  <r>
    <n v="186"/>
    <s v="0229"/>
    <s v="GUENE"/>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s v="ESTEFANIA SANCHEZ"/>
    <d v="2022-03-30T00:00:00"/>
    <n v="65"/>
    <n v="64"/>
    <s v="SI"/>
    <s v="Entregado al area"/>
    <x v="1"/>
    <s v="5 de mayo entregado al area"/>
    <m/>
    <d v="2022-05-05T00:00:00"/>
    <x v="8"/>
    <m/>
    <n v="37"/>
    <n v="36"/>
    <s v="N/A"/>
    <s v="INVERSION"/>
    <s v="500-CMA-1743-2021/500-AO-1905-2022"/>
    <d v="2022-04-22T00:00:00"/>
    <n v="3148468323"/>
    <s v="CABLES DE ENERGIA Y TELECOMUNICACIONES SA"/>
    <m/>
    <n v="165708859.10526323"/>
    <m/>
    <m/>
    <s v="2022-079"/>
    <m/>
    <m/>
    <s v="YUMBO"/>
    <s v="MUNICIPAL"/>
    <m/>
    <n v="5.0000000000000024E-2"/>
    <n v="1"/>
    <n v="0"/>
    <n v="37"/>
  </r>
  <r>
    <n v="187"/>
    <s v="0230"/>
    <s v="GUENAA"/>
    <d v="2022-03-29T00:00:00"/>
    <x v="3"/>
    <s v="N/A"/>
    <s v="FR-300-GAA-0103-2022"/>
    <s v="N/A"/>
    <s v="Contrato Marco para el suministro de Hidroxicloruro de Aluminio para ser utilizado en el Tratamiento de Agua Potable para Consumo Humano"/>
    <s v="N/A"/>
    <m/>
    <s v="900-IPU-0230-2022"/>
    <s v="IPU"/>
    <s v="N/A"/>
    <s v="N/A"/>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x v="5"/>
    <s v="ago"/>
    <n v="126"/>
    <n v="123"/>
    <m/>
    <s v="FUNCIONAMIENTO"/>
    <m/>
    <m/>
    <m/>
    <m/>
    <m/>
    <e v="#VALUE!"/>
    <m/>
    <m/>
    <m/>
    <m/>
    <m/>
    <m/>
    <m/>
    <m/>
    <m/>
    <n v="1"/>
    <m/>
    <m/>
  </r>
  <r>
    <n v="188"/>
    <s v="0231"/>
    <s v="GUENAA"/>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x v="5"/>
    <s v="ago"/>
    <n v="126"/>
    <n v="123"/>
    <m/>
    <s v="FUNCIONAMIENTO"/>
    <m/>
    <m/>
    <m/>
    <m/>
    <m/>
    <e v="#VALUE!"/>
    <m/>
    <m/>
    <m/>
    <m/>
    <m/>
    <m/>
    <m/>
    <m/>
    <m/>
    <n v="1"/>
    <m/>
    <m/>
  </r>
  <r>
    <n v="189"/>
    <s v="0232"/>
    <s v="GUENAA"/>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3"/>
    <n v="130"/>
    <m/>
    <s v="FUNCIONAMIENTO"/>
    <m/>
    <m/>
    <m/>
    <m/>
    <m/>
    <e v="#VALUE!"/>
    <m/>
    <m/>
    <m/>
    <m/>
    <m/>
    <m/>
    <m/>
    <m/>
    <m/>
    <n v="1"/>
    <m/>
    <m/>
  </r>
  <r>
    <n v="190"/>
    <s v="0233"/>
    <s v="GUENAA"/>
    <d v="2022-03-29T00:00:00"/>
    <x v="3"/>
    <s v="N/A"/>
    <s v="FR-300-GAA-0106-2022"/>
    <s v="N/A"/>
    <s v="Contrato Marco para el Suministro de Carbón Activado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x v="5"/>
    <s v="ago"/>
    <n v="126"/>
    <n v="123"/>
    <m/>
    <s v="FUNCIONAMIENTO"/>
    <m/>
    <m/>
    <m/>
    <m/>
    <m/>
    <e v="#VALUE!"/>
    <m/>
    <m/>
    <m/>
    <m/>
    <m/>
    <m/>
    <m/>
    <m/>
    <m/>
    <n v="1"/>
    <m/>
    <m/>
  </r>
  <r>
    <n v="191"/>
    <s v="0234"/>
    <s v="GUENAA"/>
    <d v="2022-03-29T00:00:00"/>
    <x v="3"/>
    <s v="GAA0624"/>
    <s v="FR-300-GAA-0098-2022"/>
    <s v="N/A"/>
    <s v="Suministro de equipos de Instrumentación para  las Plantas de Tratamiento de Agua Potable"/>
    <n v="155815600"/>
    <s v="28 DE NOVIEMBRE 2022"/>
    <s v="900-IPU-0234-2022"/>
    <m/>
    <n v="202202922"/>
    <m/>
    <s v="N/A"/>
    <s v="N/A"/>
    <s v="Menor cuantia"/>
    <x v="0"/>
    <s v="JHON LARRY "/>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x v="1"/>
    <m/>
    <n v="141"/>
    <n v="135"/>
    <s v="N/A"/>
    <s v="INVERSION"/>
    <s v="300-AO-2089-2022"/>
    <d v="2022-08-08T00:00:00"/>
    <n v="149772663"/>
    <s v="IMATIC INGENIERIA SAS"/>
    <m/>
    <n v="6042937"/>
    <m/>
    <m/>
    <m/>
    <m/>
    <m/>
    <m/>
    <m/>
    <s v="UNIDAD DE MANTENIMIENTO"/>
    <n v="3.8782618685163743E-2"/>
    <n v="1"/>
    <n v="2"/>
    <n v="115"/>
  </r>
  <r>
    <n v="192"/>
    <s v="0235"/>
    <s v="GUENAA"/>
    <d v="2022-03-29T00:00:00"/>
    <x v="3"/>
    <s v="GAA0261_x000a_GAA0637"/>
    <s v="FR-300-GAA-0099-2022"/>
    <s v="N/A"/>
    <s v="OVERHOULT Equipos Electoromecanicos para los equipos de PTAP Río Cauca"/>
    <n v="357751462"/>
    <s v="31 DE DICIEMBRE 2022"/>
    <s v="900-IPU-0217-2022"/>
    <m/>
    <n v="202202910"/>
    <n v="357751462"/>
    <s v="N/A"/>
    <s v="N/A"/>
    <s v="Men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x v="11"/>
    <m/>
    <n v="157"/>
    <n v="151"/>
    <s v="N/A"/>
    <s v="INVERSION"/>
    <s v="300-AO-2173-2022"/>
    <d v="2022-08-19T00:00:00"/>
    <n v="345825900"/>
    <s v="PAYAN Y CIA LTDA "/>
    <n v="202208262"/>
    <n v="11925562"/>
    <m/>
    <m/>
    <m/>
    <m/>
    <m/>
    <s v="CALI"/>
    <s v="LOCAL"/>
    <s v="UNIDAD DE MANTENIMIENTO"/>
    <n v="3.3334768035133841E-2"/>
    <n v="1"/>
    <n v="2"/>
    <n v="109"/>
  </r>
  <r>
    <n v="193"/>
    <s v="0236"/>
    <s v="GAGHA"/>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s v="LEIDY DIANA FRANCO"/>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x v="5"/>
    <s v="jun"/>
    <n v="70"/>
    <n v="68"/>
    <m/>
    <s v="FUNCIONAMIENTO"/>
    <m/>
    <m/>
    <m/>
    <m/>
    <m/>
    <m/>
    <e v="#VALUE!"/>
    <m/>
    <m/>
    <m/>
    <m/>
    <m/>
    <m/>
    <m/>
    <m/>
    <n v="0"/>
    <m/>
    <m/>
  </r>
  <r>
    <n v="194"/>
    <s v="0237"/>
    <s v="GAGHA"/>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s v="LEIDY FRANCO"/>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x v="1"/>
    <m/>
    <n v="127"/>
    <n v="125"/>
    <s v="N/A"/>
    <s v="FUNCIONAMIENTO"/>
    <s v="800-AO-2072-2022"/>
    <d v="2022-07-26T00:00:00"/>
    <n v="830487000"/>
    <s v="KOMATSU COLOMBIA SAS"/>
    <n v="202207259"/>
    <n v="82087000"/>
    <m/>
    <m/>
    <m/>
    <m/>
    <m/>
    <s v="CHIA CUNDINAMARCA"/>
    <s v="NACIONAL"/>
    <s v="UNIDAD GESTIÓN ADMINISTRATIVA"/>
    <n v="8.9951061502957563E-2"/>
    <n v="0"/>
    <n v="2"/>
    <n v="101"/>
  </r>
  <r>
    <n v="195"/>
    <s v="0238"/>
    <s v="GAGHA"/>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s v="LEIDY FRANCO"/>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x v="10"/>
    <m/>
    <n v="120"/>
    <n v="118"/>
    <s v="N/A"/>
    <s v="FUNCIONAMIENTO"/>
    <s v="800-AO-2051-2022"/>
    <d v="2022-07-22T00:00:00"/>
    <n v="678255048"/>
    <s v="LLANTAS  E IMPORTACIONES SAGU SAS"/>
    <n v="202207253"/>
    <n v="0"/>
    <m/>
    <m/>
    <m/>
    <m/>
    <m/>
    <s v="BOGOTA"/>
    <s v="LOCAL"/>
    <s v="UNIDAD GESTIÓN ADMINISTRATIVA"/>
    <n v="0"/>
    <n v="0"/>
    <n v="2"/>
    <n v="95"/>
  </r>
  <r>
    <n v="196"/>
    <s v="0239"/>
    <s v="GAGHA"/>
    <d v="2022-03-30T00:00:00"/>
    <x v="3"/>
    <s v="GHA0075"/>
    <s v="FR-800-GAGHA-0147-2022"/>
    <s v="800-AC-2040-2021"/>
    <s v="Silla Interlocutora estructura metálica pintada, espaldar en carcasa plástica negra, tapizada en paño"/>
    <n v="1740970"/>
    <s v="30 dias"/>
    <s v="N/A"/>
    <m/>
    <n v="202202755"/>
    <n v="2000000"/>
    <s v="N/A"/>
    <s v="N/A"/>
    <s v="N/A"/>
    <x v="5"/>
    <s v="FRANCIA RAMÍREZ"/>
    <d v="2022-03-31T00:00:00"/>
    <n v="64"/>
    <n v="63"/>
    <s v="SI"/>
    <s v="Entregado al area"/>
    <x v="1"/>
    <s v="19 DE ABRIL SE RECIBIERON PROPUESTAS_x000a_27 DE ABRIL ENTREGADO AL AREA"/>
    <m/>
    <d v="2022-04-27T00:00:00"/>
    <x v="8"/>
    <m/>
    <n v="28"/>
    <n v="27"/>
    <s v="N/A"/>
    <s v="FUNCIONAMIENTO"/>
    <s v="800-AC-2040-2021/800-AO-1908-2022"/>
    <d v="2022-04-27T00:00:00"/>
    <n v="1323137"/>
    <s v="MADE MUEBLES DE COLOMBIA "/>
    <m/>
    <n v="417833"/>
    <m/>
    <m/>
    <s v="2022-094"/>
    <d v="2022-03-07T00:00:00"/>
    <m/>
    <s v="BOGOTA"/>
    <s v="NACIONAL"/>
    <m/>
    <n v="0.24000011487848727"/>
    <n v="0"/>
    <n v="0"/>
    <n v="28"/>
  </r>
  <r>
    <n v="197"/>
    <s v="0240"/>
    <s v="GUENAA"/>
    <d v="2022-03-31T00:00:00"/>
    <x v="3"/>
    <s v="N/A"/>
    <s v="FR-300-GAA-0107-2022"/>
    <s v="N/A"/>
    <s v="Suministrar Cloruro Férrico en base líquida al 42%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x v="5"/>
    <s v="jun"/>
    <n v="71"/>
    <n v="70"/>
    <m/>
    <s v="FUNCIONAMIENTO"/>
    <m/>
    <m/>
    <m/>
    <m/>
    <m/>
    <e v="#VALUE!"/>
    <m/>
    <m/>
    <m/>
    <m/>
    <m/>
    <m/>
    <m/>
    <m/>
    <m/>
    <n v="1"/>
    <m/>
    <m/>
  </r>
  <r>
    <n v="198"/>
    <s v="0241"/>
    <s v="GUENAA"/>
    <d v="2022-03-31T00:00:00"/>
    <x v="3"/>
    <s v="N/A"/>
    <s v="FR-300-GAA-0108-2022"/>
    <s v="N/A"/>
    <s v="Suministrar Polímero acondicionante de lodos para deshidratación, utilizado en el proceso del tratamiento de las aguas residuales en la PTAR C."/>
    <s v="N/A"/>
    <m/>
    <s v="N/A"/>
    <s v=""/>
    <s v="N/A"/>
    <m/>
    <s v="N/A"/>
    <s v="N/A"/>
    <s v="N/A"/>
    <x v="3"/>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1"/>
    <n v="130"/>
    <m/>
    <s v="FUNCIONAMIENTO"/>
    <m/>
    <m/>
    <m/>
    <m/>
    <m/>
    <e v="#VALUE!"/>
    <m/>
    <m/>
    <m/>
    <m/>
    <m/>
    <m/>
    <m/>
    <m/>
    <m/>
    <n v="1"/>
    <m/>
    <m/>
  </r>
  <r>
    <n v="199"/>
    <s v="0242"/>
    <s v="GUENAA"/>
    <d v="2022-03-31T00:00:00"/>
    <x v="3"/>
    <s v="N/A"/>
    <s v="FR-300-GAA-0109-2022"/>
    <s v="N/A"/>
    <s v="Suministrar Polímero ayudante de floculación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x v="5"/>
    <s v="ago"/>
    <n v="131"/>
    <n v="130"/>
    <m/>
    <s v="FUNCIONAMIENTO"/>
    <m/>
    <m/>
    <m/>
    <m/>
    <m/>
    <e v="#VALUE!"/>
    <m/>
    <m/>
    <m/>
    <m/>
    <m/>
    <m/>
    <m/>
    <m/>
    <m/>
    <n v="1"/>
    <m/>
    <m/>
  </r>
  <r>
    <n v="200"/>
    <s v="0243"/>
    <s v="GUENAA"/>
    <d v="2022-03-31T00:00:00"/>
    <x v="3"/>
    <s v="N/A"/>
    <s v="FR-300-GAA-0110-2022"/>
    <s v="N/A"/>
    <s v="Suministrar producto para control de olores en el tratamiento de las aguas residuales de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x v="5"/>
    <s v="ago"/>
    <n v="131"/>
    <n v="130"/>
    <m/>
    <s v="FUNCIONAMIENTO"/>
    <m/>
    <m/>
    <m/>
    <m/>
    <m/>
    <e v="#VALUE!"/>
    <m/>
    <m/>
    <m/>
    <m/>
    <m/>
    <m/>
    <m/>
    <m/>
    <m/>
    <n v="1"/>
    <m/>
    <m/>
  </r>
  <r>
    <n v="201"/>
    <s v="0244"/>
    <s v="GUENAA"/>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s v="ESTEFANIA SANCHEZ"/>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x v="10"/>
    <m/>
    <n v="74"/>
    <n v="74"/>
    <s v="N/A"/>
    <s v="INVERSION"/>
    <s v="500-CMA-1743-2021/300-AO-1944-2022"/>
    <d v="2022-05-31T00:00:00"/>
    <n v="878966428"/>
    <s v="CABLES DE ENERGIA Y TELECOMUNICACIONES SA"/>
    <n v="202205675"/>
    <n v="6294.6000000238419"/>
    <m/>
    <m/>
    <m/>
    <m/>
    <m/>
    <s v="YUMBO"/>
    <s v="MUNICIPAL"/>
    <s v="UNIDAD DE MANTENIMIENTO"/>
    <n v="7.1613143823217E-6"/>
    <n v="1"/>
    <n v="0"/>
    <n v="74"/>
  </r>
  <r>
    <n v="202"/>
    <s v="0245"/>
    <s v="GUENAA"/>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x v="11"/>
    <m/>
    <n v="155"/>
    <n v="151"/>
    <s v="N/A"/>
    <s v="FUNCIONAMIENTO"/>
    <s v="300-AO-2172-2022"/>
    <d v="2022-08-19T00:00:00"/>
    <n v="1256995507"/>
    <s v="PAYAN Y CIA LTDA "/>
    <n v="202208261"/>
    <n v="812"/>
    <m/>
    <m/>
    <m/>
    <m/>
    <m/>
    <s v="CALI"/>
    <s v="LOCAL"/>
    <s v="UNIDAD DE MANTENIMIENTO"/>
    <n v="6.4598438971244116E-7"/>
    <n v="1"/>
    <n v="2"/>
    <n v="109"/>
  </r>
  <r>
    <n v="203"/>
    <s v="0246"/>
    <s v="GUENAA"/>
    <d v="2022-03-31T00:00:00"/>
    <x v="3"/>
    <s v="GAA0639_x000a_GAA0663"/>
    <s v="FR-300-GAA-0102-2022"/>
    <s v="N/A"/>
    <s v="Suministro de equipos CHEMTRAC para plantas de tratamiento de Agua Potable"/>
    <n v="134184400"/>
    <m/>
    <s v="900-IPU-0246-2022"/>
    <s v="IPU"/>
    <n v="202202921"/>
    <m/>
    <s v="N/A"/>
    <s v="N/A"/>
    <s v="Menor cuantia"/>
    <x v="0"/>
    <s v="PAOLA BELTRAN"/>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x v="5"/>
    <s v="jun"/>
    <n v="69"/>
    <n v="63"/>
    <m/>
    <s v="INVERSION"/>
    <m/>
    <m/>
    <m/>
    <m/>
    <m/>
    <m/>
    <e v="#VALUE!"/>
    <m/>
    <m/>
    <m/>
    <m/>
    <m/>
    <m/>
    <m/>
    <m/>
    <n v="1"/>
    <m/>
    <m/>
  </r>
  <r>
    <n v="204"/>
    <s v="0247"/>
    <s v="GUENAA"/>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s v="HAROLD MONDRAGON"/>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x v="10"/>
    <m/>
    <n v="98"/>
    <n v="94"/>
    <s v="N/A"/>
    <s v="FUNCIONAMIENTO"/>
    <s v="300-AO-1969-2022"/>
    <d v="2022-06-16T00:00:00"/>
    <n v="1795043027"/>
    <s v="CONSORCIO HA SP5-0247-2022"/>
    <n v="202205854"/>
    <n v="24935548"/>
    <m/>
    <m/>
    <m/>
    <m/>
    <m/>
    <m/>
    <m/>
    <s v="UNIDAD DE RECOLECCION"/>
    <n v="1.3701011837460779E-2"/>
    <n v="1"/>
    <n v="2"/>
    <n v="88"/>
  </r>
  <r>
    <n v="205"/>
    <s v="0248"/>
    <s v="GUENT"/>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s v="ESTEFANIA SANCHEZ"/>
    <d v="2022-03-31T00:00:00"/>
    <n v="-44651"/>
    <n v="-44651"/>
    <s v="SI"/>
    <s v="Entregado al area"/>
    <x v="1"/>
    <s v="5 DE MAYO RESPUESTA A OBSERVACIONES_x000a_24 DE MAYO EN ACEPTACION DE LA OFERTA_x000a_9 de junio esperando polizas de los proveedores_x000a_30 de junio en espera de la polizas"/>
    <m/>
    <d v="2022-06-28T00:00:00"/>
    <x v="10"/>
    <m/>
    <n v="89"/>
    <n v="89"/>
    <s v="N/A"/>
    <s v="FUNCIONAMIENTO"/>
    <s v="400-CMA-1353-2020/400-AO-1949-2022_x000a_400-CMA-1353-2020/400-AO-1950-2022_x000a_400-CMA-1353-2020/400-AO-1952-2022"/>
    <s v="06/06/202"/>
    <n v="2032414666"/>
    <s v="MATRIX TELCOM LTDA_x000a_ELECTROCIVILES SAS_x000a_ENERGITEL SAS"/>
    <n v="202205740"/>
    <n v="13102"/>
    <m/>
    <m/>
    <m/>
    <m/>
    <m/>
    <s v="BOGOTA_x000a_RISALRALDA"/>
    <s v="NACIONAL"/>
    <s v="UNIDAD DE MANTTO RED FISICA"/>
    <n v="6.4464775606234484E-6"/>
    <n v="1"/>
    <n v="0"/>
    <n v="89"/>
  </r>
  <r>
    <n v="206"/>
    <s v="0249"/>
    <s v="GUENAA"/>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s v="CRISTHIAN BURBANO"/>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x v="5"/>
    <s v="jun"/>
    <n v="70"/>
    <n v="66"/>
    <m/>
    <s v="FUNCIONAMIENTO"/>
    <m/>
    <m/>
    <m/>
    <m/>
    <m/>
    <m/>
    <e v="#VALUE!"/>
    <m/>
    <m/>
    <m/>
    <m/>
    <m/>
    <m/>
    <m/>
    <m/>
    <n v="1"/>
    <m/>
    <m/>
  </r>
  <r>
    <n v="207"/>
    <s v="0250"/>
    <s v="GUENAA"/>
    <d v="2022-03-31T00:00:00"/>
    <x v="3"/>
    <s v="GAA0651"/>
    <s v="FR-300-GAA-0087-2022"/>
    <s v="N/A"/>
    <s v="Suministro de equipos de Automatismo y Telemetría"/>
    <n v="244211285"/>
    <m/>
    <s v="900-IPU-0250-2022"/>
    <s v="IPU"/>
    <n v="202201156"/>
    <m/>
    <s v="N/A"/>
    <s v="N/A"/>
    <s v="Menor cuantia"/>
    <x v="0"/>
    <s v="HAROLD MONDRAGON"/>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x v="5"/>
    <s v="may"/>
    <n v="55"/>
    <n v="49"/>
    <m/>
    <s v="INVERSION"/>
    <m/>
    <m/>
    <m/>
    <m/>
    <m/>
    <m/>
    <e v="#VALUE!"/>
    <m/>
    <m/>
    <m/>
    <m/>
    <m/>
    <m/>
    <m/>
    <m/>
    <n v="1"/>
    <m/>
    <m/>
  </r>
  <r>
    <n v="208"/>
    <s v="0251"/>
    <s v="GUENAA"/>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x v="11"/>
    <m/>
    <n v="155"/>
    <n v="151"/>
    <s v="N/A"/>
    <s v="INVERSION"/>
    <s v="300-AO-2171-2022"/>
    <d v="2022-08-19T00:00:00"/>
    <n v="496040076"/>
    <s v="PAYAN Y CIA LTDA "/>
    <n v="202208260"/>
    <n v="5662567"/>
    <m/>
    <m/>
    <m/>
    <m/>
    <m/>
    <s v="CALI"/>
    <s v="LOCAL"/>
    <s v="UNIDAD DE MANTENIMIENTO"/>
    <n v="1.1286699560002118E-2"/>
    <n v="1"/>
    <n v="2"/>
    <n v="109"/>
  </r>
  <r>
    <n v="209"/>
    <s v="0252"/>
    <s v="GUENAA"/>
    <d v="2022-04-01T00:00:00"/>
    <x v="4"/>
    <s v="GAA0173"/>
    <s v="FR-300-GAA-0111-2022"/>
    <s v="N/A"/>
    <s v="Mitigación de inundaciones comuna 6 y valvulas antiretorno sectores varios 2022"/>
    <n v="999326770"/>
    <s v="31 DE DICIEMBRE 2022"/>
    <s v="900-IPU-0252-2022"/>
    <m/>
    <n v="202202779"/>
    <n v="1000000000"/>
    <s v="N/A"/>
    <s v="N/A"/>
    <s v="Mayor cuantia"/>
    <x v="0"/>
    <s v="HAROLD MONDRAGON"/>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x v="10"/>
    <m/>
    <n v="118"/>
    <n v="113"/>
    <s v="N/A"/>
    <s v="INVERSION"/>
    <s v="300-AO-1960-2022"/>
    <d v="2022-06-16T00:00:00"/>
    <n v="981049546"/>
    <s v="ALVARO LAZARO DEL VALLE"/>
    <m/>
    <n v="18277224"/>
    <m/>
    <m/>
    <m/>
    <m/>
    <m/>
    <m/>
    <m/>
    <s v="UNIDAD DE INGENIERIA"/>
    <n v="1.8289537065038296E-2"/>
    <n v="1"/>
    <n v="2"/>
    <n v="98"/>
  </r>
  <r>
    <n v="210"/>
    <s v="0253"/>
    <s v="GUENAA"/>
    <d v="2022-04-01T00:00:00"/>
    <x v="4"/>
    <s v="GAA0174"/>
    <s v="FR-300-GAA-0126-2022"/>
    <s v="N/A"/>
    <s v="Obras PSMV Optimización y mejoramiento drenaje sectores varios - control de vertimientos canal oriental y entrega Río Cali"/>
    <n v="1234403575"/>
    <m/>
    <s v="900-IPU-0253-2022"/>
    <m/>
    <n v="202202780"/>
    <m/>
    <s v="N/A"/>
    <s v="N/A"/>
    <s v="Mayor cuantia"/>
    <x v="0"/>
    <s v="HAROLD MONDRAGON"/>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x v="10"/>
    <m/>
    <n v="103"/>
    <n v="98"/>
    <s v="N/A"/>
    <s v="INVERSION"/>
    <s v="300-AO-1959-2022"/>
    <d v="2022-06-16T00:00:00"/>
    <n v="1212692702"/>
    <s v="ALVARO LAZARO DEL VALLE"/>
    <n v="202206262"/>
    <n v="21710873"/>
    <m/>
    <m/>
    <m/>
    <m/>
    <m/>
    <s v="CALI"/>
    <s v="LOCAL"/>
    <s v="UNIDAD DE INGENIERIA"/>
    <n v="1.7588148187273354E-2"/>
    <n v="1"/>
    <n v="2"/>
    <n v="103"/>
  </r>
  <r>
    <n v="211"/>
    <s v="0254"/>
    <s v="GUENAA"/>
    <d v="2022-04-04T00:00:00"/>
    <x v="4"/>
    <s v="GAA0254"/>
    <s v="FR-300-GAA-0122-2022"/>
    <s v="N/A"/>
    <s v="Suministro e instalación de generador Planta Puerto Mallarino"/>
    <n v="589996150"/>
    <m/>
    <s v="900-IPU-0254-2022"/>
    <s v="IPU"/>
    <n v="202202190"/>
    <m/>
    <s v="N/A"/>
    <s v="N/A"/>
    <s v="Mayor cuantia"/>
    <x v="0"/>
    <s v="HAROLD MONDRAGON"/>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x v="5"/>
    <s v="jul"/>
    <n v="105"/>
    <n v="88"/>
    <m/>
    <s v="INVERSION"/>
    <m/>
    <m/>
    <m/>
    <m/>
    <m/>
    <m/>
    <m/>
    <m/>
    <m/>
    <m/>
    <m/>
    <m/>
    <m/>
    <m/>
    <m/>
    <n v="1"/>
    <m/>
    <m/>
  </r>
  <r>
    <n v="212"/>
    <s v="0255"/>
    <s v="GUENAA"/>
    <d v="2022-04-04T00:00:00"/>
    <x v="4"/>
    <s v="GAA0257"/>
    <s v="FR-300-GAA-0125-2022"/>
    <s v="N/A"/>
    <s v="Suministro de Soplador Lobular con variador de velocidad y complementarios"/>
    <n v="259196806"/>
    <m/>
    <s v="900-IPU-0255-2022"/>
    <m/>
    <n v="202202847"/>
    <m/>
    <s v="N/A"/>
    <s v="N/A"/>
    <s v="Menor cuantia"/>
    <x v="0"/>
    <s v="HAROLD MONDRAGON"/>
    <d v="2022-04-21T00:00:00"/>
    <n v="-44655"/>
    <n v="-44672"/>
    <s v="SI"/>
    <s v="Entregado al area"/>
    <x v="1"/>
    <s v="9 de mayo en elaboracion de la fpa y cc_x000a_17 de mayo publicado_x000a_1 DE JUNIO SE RECIBEN OFERTAS_x000a_18 DE JULIO EN SOLICITUD DE POLIZAS_x000a_"/>
    <m/>
    <d v="2022-07-29T00:00:00"/>
    <x v="10"/>
    <m/>
    <n v="116"/>
    <n v="99"/>
    <s v="N/A"/>
    <s v="INVERSION"/>
    <s v="300-AO-2023-2022"/>
    <d v="2022-07-15T00:00:00"/>
    <n v="259196755"/>
    <s v="KAESER COMPRESORES DE COLOMBIA SAS"/>
    <n v="202207212"/>
    <n v="51"/>
    <m/>
    <m/>
    <m/>
    <m/>
    <m/>
    <s v="MUNICIPIO DE TENJO CUNDINAMARCA"/>
    <s v="NACIONAL"/>
    <s v="UNIDAD DE MANTENIMIENTO"/>
    <n v="1.9676168386118153E-7"/>
    <n v="1"/>
    <n v="2"/>
    <n v="116"/>
  </r>
  <r>
    <n v="213"/>
    <s v="0256"/>
    <s v="GUENAA"/>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s v="HAROLD MONDRAGON"/>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x v="10"/>
    <m/>
    <n v="105"/>
    <n v="103"/>
    <s v="N/A"/>
    <s v="INVERSION"/>
    <s v="300-AO-1980-2022"/>
    <d v="2022-07-07T00:00:00"/>
    <n v="1634974621"/>
    <s v="SOPORTE A LA INGENIERIA SAS"/>
    <n v="202206979"/>
    <n v="651523"/>
    <m/>
    <m/>
    <m/>
    <m/>
    <m/>
    <s v="CALI"/>
    <s v="LOCAL"/>
    <s v="UNIDAD DE OPERACIÓN"/>
    <n v="3.9833246881629692E-4"/>
    <n v="1"/>
    <n v="2"/>
    <n v="105"/>
  </r>
  <r>
    <n v="214"/>
    <s v="0257"/>
    <s v="GUENAA"/>
    <d v="2022-04-07T00:00:00"/>
    <x v="4"/>
    <s v="GAA0670"/>
    <s v="FR-300-GAA-0258-2021"/>
    <s v="N/A"/>
    <s v="Rehabilitar los componentes priorizados de las estructuras de Captación y Pretratamiento de la PTAP Río Cali."/>
    <n v="936000000"/>
    <m/>
    <s v="900-IPU-0257-2022"/>
    <s v="IPU"/>
    <m/>
    <m/>
    <s v="108-202100108"/>
    <m/>
    <s v="Mayor cuantia"/>
    <x v="0"/>
    <s v="PABLO CAICEDO"/>
    <d v="2022-04-06T00:00:00"/>
    <e v="#VALUE!"/>
    <e v="#VALUE!"/>
    <s v="NO"/>
    <s v="Cerrado"/>
    <x v="0"/>
    <m/>
    <s v="20 DE ABRIL EN REVISION DE LA FPA_x000a_5 DE MAYO EN RESPUESTA A OBSRVACIONES_x000a_17 de mayo en evaluacion sobre 1_x000a_06/06/2022 CERRADO  PORQUE EL OFERENTE NO SUBASANO"/>
    <d v="2022-06-06T00:00:00"/>
    <x v="5"/>
    <s v="jun"/>
    <n v="60"/>
    <n v="61"/>
    <m/>
    <s v="INVERSION"/>
    <m/>
    <m/>
    <m/>
    <m/>
    <m/>
    <m/>
    <m/>
    <m/>
    <m/>
    <m/>
    <m/>
    <m/>
    <m/>
    <m/>
    <m/>
    <n v="1"/>
    <m/>
    <m/>
  </r>
  <r>
    <n v="215"/>
    <s v="0258"/>
    <s v="GUENE"/>
    <d v="2022-04-07T00:00:00"/>
    <x v="4"/>
    <s v="GE0189"/>
    <s v="FR-500-GE-0193-2022"/>
    <s v="N/A"/>
    <s v="Calibración de equipos de Medición"/>
    <n v="21000000"/>
    <m/>
    <s v="900-IPU-0258-2022"/>
    <s v="IPU"/>
    <n v="202203515"/>
    <s v=","/>
    <s v="N/A"/>
    <s v="N/A"/>
    <s v="Menor cuantia"/>
    <x v="0"/>
    <s v="ANA MARIA GIL"/>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x v="5"/>
    <s v="jun"/>
    <n v="56"/>
    <n v="42"/>
    <m/>
    <s v="FUNCIONAMIENTO"/>
    <m/>
    <m/>
    <m/>
    <m/>
    <m/>
    <m/>
    <m/>
    <m/>
    <m/>
    <m/>
    <m/>
    <m/>
    <m/>
    <m/>
    <m/>
    <n v="1"/>
    <m/>
    <m/>
  </r>
  <r>
    <n v="216"/>
    <s v="0259"/>
    <s v="GUENAA"/>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s v="ANA MARIA GIL"/>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x v="5"/>
    <s v="jun"/>
    <n v="56"/>
    <n v="37"/>
    <m/>
    <s v="FUNCIONAMIENTO"/>
    <m/>
    <m/>
    <m/>
    <m/>
    <m/>
    <m/>
    <m/>
    <m/>
    <m/>
    <m/>
    <m/>
    <m/>
    <m/>
    <m/>
    <m/>
    <n v="1"/>
    <m/>
    <m/>
  </r>
  <r>
    <n v="217"/>
    <s v="0260"/>
    <s v="GUENAA"/>
    <d v="2022-05-07T00:00:00"/>
    <x v="5"/>
    <s v="GAA0664"/>
    <s v="FR-300-GAA-0129-2022"/>
    <s v="N/A"/>
    <s v="OVERHOULT equipos electromecanicos de las estaciones de bombeo de agua potable"/>
    <n v="118131300"/>
    <s v="31 DE DICIEMBRE 2022"/>
    <s v="900-IPU-0217-2022"/>
    <m/>
    <n v="202203083"/>
    <n v="120000000"/>
    <s v="N/A"/>
    <s v="N/A"/>
    <s v="Menor cuantia"/>
    <x v="0"/>
    <s v="HAROLD MONDRAGON"/>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x v="11"/>
    <m/>
    <n v="118"/>
    <n v="137"/>
    <s v="N/A"/>
    <s v="INVERSION"/>
    <s v="300-AO-2174-2022"/>
    <d v="2022-08-19T00:00:00"/>
    <n v="116874660"/>
    <s v="PAYAN Y CIA LTDA "/>
    <n v="202208263"/>
    <n v="1256640"/>
    <m/>
    <m/>
    <m/>
    <m/>
    <m/>
    <s v="CALI"/>
    <s v="LOCAL"/>
    <s v="UNIDAD DE MANTENIMIENTO"/>
    <n v="1.0637654880628589E-2"/>
    <n v="1"/>
    <n v="2"/>
    <n v="109"/>
  </r>
  <r>
    <n v="218"/>
    <s v="0261"/>
    <s v="GUENAA"/>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s v="N/A"/>
    <s v="FUNCIONAMIENTO"/>
    <s v="CMA-1974-2020/300-AO-1945-2022"/>
    <d v="2022-05-31T00:00:00"/>
    <n v="1976707016"/>
    <s v="EQUIPOS Y HERRAMIENTAS INDUSTRIALES SAS"/>
    <n v="202205653"/>
    <n v="0"/>
    <m/>
    <m/>
    <m/>
    <m/>
    <m/>
    <s v="CALI"/>
    <s v="LOCAL"/>
    <m/>
    <n v="0"/>
    <n v="1"/>
    <n v="0"/>
    <n v="67"/>
  </r>
  <r>
    <n v="219"/>
    <s v="0262"/>
    <s v="GUENAA"/>
    <d v="2022-04-07T00:00:00"/>
    <x v="4"/>
    <s v="GAA0271"/>
    <s v="FR-300-GAA-0131-2022"/>
    <s v="300-CM-1794-2020"/>
    <s v="Compra de valvulas para la Unidad de Distribución"/>
    <n v="207306980"/>
    <m/>
    <s v="N/A"/>
    <m/>
    <n v="20220077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s v="N/A"/>
    <s v="FUNCIONAMIENTO"/>
    <s v="300-CM-1794-2020/300-AO-1943-2022"/>
    <d v="2022-05-31T00:00:00"/>
    <n v="207306980"/>
    <s v="EQUIPOS Y HERRAMIENTAS INDUSTRIALES SAS"/>
    <n v="202205662"/>
    <n v="0"/>
    <m/>
    <m/>
    <m/>
    <m/>
    <m/>
    <s v="EQUIPOS Y HERRAMIENTAS INDUSTRIALES SAS"/>
    <s v="CALI"/>
    <m/>
    <n v="0"/>
    <n v="1"/>
    <n v="0"/>
    <n v="67"/>
  </r>
  <r>
    <n v="220"/>
    <s v="0263"/>
    <s v="GUENAA"/>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s v="HAROLD MONDRAGON"/>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x v="11"/>
    <m/>
    <n v="147"/>
    <n v="127"/>
    <s v="N/A"/>
    <s v="INVERSION"/>
    <s v="300-AO-2114-2022"/>
    <d v="2022-08-05T00:00:00"/>
    <n v="672598183"/>
    <s v="CONSORCIOS ACUEDUCTOS DEL VALLE"/>
    <n v="202207812"/>
    <n v="7227678"/>
    <m/>
    <m/>
    <m/>
    <m/>
    <m/>
    <s v="CALI"/>
    <s v="LOCAL"/>
    <s v="UNIDAD DE INGENIERIA"/>
    <n v="1.0631660862927954E-2"/>
    <n v="1"/>
    <n v="2"/>
    <n v="147"/>
  </r>
  <r>
    <n v="221"/>
    <s v="0264"/>
    <s v="GUENAA"/>
    <d v="2022-04-07T00:00:00"/>
    <x v="4"/>
    <s v="GAA0650"/>
    <s v="FR-300-GAA-0127-2022"/>
    <s v="N/A"/>
    <s v="Renovar los componentes priorizados del sistema de filtración de las PTAPS de la Red Alta (Río Cali y la Reforma)"/>
    <n v="1310994372"/>
    <m/>
    <m/>
    <s v=""/>
    <s v="202202667_x000a_202202668"/>
    <m/>
    <s v="N/A"/>
    <s v="N/A"/>
    <s v="Mayor cuantia"/>
    <x v="3"/>
    <s v="SIN ASIGNAR"/>
    <m/>
    <e v="#VALUE!"/>
    <e v="#VALUE!"/>
    <s v="NO"/>
    <s v="Devuelto"/>
    <x v="2"/>
    <m/>
    <s v="DEVUELTO POR SOLICITUD DEL AREA EL 22 DE ABRIL"/>
    <d v="2022-04-22T00:00:00"/>
    <x v="5"/>
    <s v="abr"/>
    <n v="15"/>
    <n v="44673"/>
    <m/>
    <s v="INVERSION"/>
    <m/>
    <m/>
    <m/>
    <m/>
    <m/>
    <m/>
    <m/>
    <m/>
    <m/>
    <m/>
    <m/>
    <m/>
    <m/>
    <m/>
    <m/>
    <n v="1"/>
    <m/>
    <m/>
  </r>
  <r>
    <n v="222"/>
    <s v="0265"/>
    <s v="GUENAA"/>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s v="HAROLD MONDRAGON"/>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x v="5"/>
    <s v="nov"/>
    <n v="231"/>
    <n v="217"/>
    <m/>
    <s v="INVERSION"/>
    <m/>
    <m/>
    <m/>
    <m/>
    <m/>
    <m/>
    <m/>
    <m/>
    <m/>
    <m/>
    <m/>
    <m/>
    <m/>
    <m/>
    <m/>
    <n v="1"/>
    <m/>
    <m/>
  </r>
  <r>
    <n v="223"/>
    <s v="0266"/>
    <s v="GUENAA"/>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s v="HAROLD MONDRAGON"/>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x v="10"/>
    <m/>
    <n v="94"/>
    <n v="94"/>
    <s v="N/A"/>
    <s v="INVERSION"/>
    <s v="300-AO-1961-2022"/>
    <d v="2022-06-16T00:00:00"/>
    <n v="194435701"/>
    <s v="CMO CONTRATISTAS MANO OBRA SAS"/>
    <n v="202205857"/>
    <n v="6064299"/>
    <m/>
    <m/>
    <m/>
    <m/>
    <m/>
    <s v="CALI"/>
    <s v="LOCAL"/>
    <s v="UNIDAD DE MANTENIMIENTO"/>
    <n v="3.0245880299251869E-2"/>
    <n v="1"/>
    <n v="2"/>
    <n v="94"/>
  </r>
  <r>
    <n v="224"/>
    <s v="0267"/>
    <s v="GUENAA"/>
    <d v="2022-04-08T00:00:00"/>
    <x v="4"/>
    <s v="GAA0676"/>
    <s v="FR-300-GAA-0056-2022"/>
    <s v="N/A"/>
    <s v="Mantenimiento de las casetas de protección"/>
    <n v="5580200"/>
    <m/>
    <s v="900-IPU-0267-2022"/>
    <s v="IPU"/>
    <n v="202200777"/>
    <m/>
    <s v="N/A"/>
    <s v="N/A"/>
    <s v="Menor cuantia"/>
    <x v="0"/>
    <s v="JHON LARRY "/>
    <d v="2022-04-08T00:00:00"/>
    <e v="#VALUE!"/>
    <e v="#VALUE!"/>
    <s v="NO"/>
    <s v="Cerrado"/>
    <x v="0"/>
    <m/>
    <s v="20 de abril en elaboracion de la fpa y cc_x000a_28 DE ABRIL PUBLICADO _x000a_5 DE MAYO ESPERANDO LA RECEPCION DE OFERTAS_x000a_17 DE MAYO NO SE PRESENTO NINGUN PROPONENTE ESTA EN ACTA DE CIERRE"/>
    <d v="2022-05-17T00:00:00"/>
    <x v="5"/>
    <s v="may"/>
    <n v="39"/>
    <n v="39"/>
    <m/>
    <s v="FUNCIONAMIENTO"/>
    <m/>
    <m/>
    <m/>
    <m/>
    <m/>
    <m/>
    <m/>
    <m/>
    <m/>
    <m/>
    <m/>
    <m/>
    <m/>
    <m/>
    <m/>
    <n v="1"/>
    <m/>
    <m/>
  </r>
  <r>
    <n v="225"/>
    <s v="0268"/>
    <s v="GUENAA"/>
    <d v="2022-04-19T00:00:00"/>
    <x v="4"/>
    <s v="GAA0669"/>
    <s v="FR-300-GAA-0136-2022"/>
    <s v="N/A"/>
    <s v="Suministro e Instalación equipos de Instrumentación y Automatización"/>
    <n v="97403342"/>
    <m/>
    <s v="900-IPU-0268-2022"/>
    <s v="IPU"/>
    <n v="202203123"/>
    <m/>
    <s v="N/A"/>
    <s v="N/A"/>
    <s v="Menor cuantia"/>
    <x v="0"/>
    <s v="ANA MARIA GIL"/>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x v="5"/>
    <s v="jun"/>
    <n v="45"/>
    <n v="43"/>
    <m/>
    <s v="INVERSION"/>
    <m/>
    <m/>
    <m/>
    <m/>
    <m/>
    <m/>
    <m/>
    <m/>
    <m/>
    <m/>
    <m/>
    <m/>
    <m/>
    <m/>
    <m/>
    <n v="1"/>
    <m/>
    <m/>
  </r>
  <r>
    <n v="226"/>
    <s v="0269"/>
    <s v="GUENAA"/>
    <d v="2022-04-19T00:00:00"/>
    <x v="4"/>
    <s v="GAA0264"/>
    <s v="FR-300-GAA-0137-2022"/>
    <s v="N/A"/>
    <s v="Mantenimiento y Calibración sistemas de Pesaje Plantas de Tratamiento de Agua Potable"/>
    <n v="29720250"/>
    <m/>
    <s v="900-IPU-0269-2022"/>
    <s v="IPU"/>
    <n v="202200893"/>
    <m/>
    <s v="N/A"/>
    <s v="N/A"/>
    <s v="Menor cuantia"/>
    <x v="0"/>
    <s v="JHON LARRY "/>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x v="5"/>
    <s v="jun"/>
    <n v="72"/>
    <n v="70"/>
    <m/>
    <s v="FUNCIONAMIENTO"/>
    <m/>
    <m/>
    <m/>
    <m/>
    <m/>
    <m/>
    <m/>
    <m/>
    <m/>
    <m/>
    <m/>
    <m/>
    <m/>
    <m/>
    <m/>
    <n v="1"/>
    <m/>
    <m/>
  </r>
  <r>
    <n v="227"/>
    <s v="0270"/>
    <s v="GUENAA"/>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s v="JHON LARRY "/>
    <d v="2022-04-21T00:00:00"/>
    <e v="#VALUE!"/>
    <e v="#VALUE!"/>
    <s v="NO"/>
    <s v="CERRADO PARA TRAMITAR COMO IP "/>
    <x v="0"/>
    <m/>
    <s v="5 DE MAYO EN INTELIGENCIA DE MERCADO_x000a_17 de mayo en inteligencia de mercado_x000a_24 DE MAYO EN INTELIGENCIA DE MERCADO"/>
    <d v="2022-06-02T00:00:00"/>
    <x v="5"/>
    <s v="jun"/>
    <n v="44"/>
    <n v="42"/>
    <m/>
    <s v="INVERSION"/>
    <m/>
    <m/>
    <m/>
    <m/>
    <m/>
    <m/>
    <m/>
    <m/>
    <m/>
    <m/>
    <m/>
    <m/>
    <m/>
    <m/>
    <m/>
    <n v="1"/>
    <m/>
    <m/>
  </r>
  <r>
    <n v="228"/>
    <s v="0271"/>
    <s v="GUENAA"/>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s v="HAROLD MONDRAGON"/>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x v="5"/>
    <s v="dic"/>
    <n v="227"/>
    <n v="225"/>
    <m/>
    <s v="INVERSION"/>
    <m/>
    <m/>
    <m/>
    <m/>
    <m/>
    <m/>
    <m/>
    <m/>
    <m/>
    <m/>
    <m/>
    <m/>
    <m/>
    <m/>
    <m/>
    <n v="1"/>
    <m/>
    <m/>
  </r>
  <r>
    <n v="229"/>
    <s v="0272"/>
    <s v="GUENE"/>
    <d v="2022-04-19T00:00:00"/>
    <x v="4"/>
    <s v="GE0207_x000a_GE0249"/>
    <s v="FR-500-GE-0195-2022"/>
    <s v="300-CMA-1974-2020"/>
    <s v="Suministro de materiales, elementos de ferretería, herramientas y elementos afines para EMCALI EICE ESP"/>
    <n v="150974278"/>
    <s v="60 dias"/>
    <s v="N/A"/>
    <m/>
    <n v="202203560"/>
    <m/>
    <s v="N/A"/>
    <s v="N/A"/>
    <s v="N/A"/>
    <x v="1"/>
    <s v="LUCY ARBELAEZ"/>
    <d v="2022-04-20T00:00:00"/>
    <e v="#REF!"/>
    <e v="#REF!"/>
    <s v="SI"/>
    <s v="Entregado al area"/>
    <x v="1"/>
    <s v="17 de mayo en invitacion de ofertas_x000a_23 DE MAYO EN ACEPTACION DE OFERTA_x000a_9 de junio entregado al area"/>
    <m/>
    <d v="2022-06-09T00:00:00"/>
    <x v="9"/>
    <m/>
    <n v="51"/>
    <n v="50"/>
    <s v="N/A"/>
    <s v="INVERSION"/>
    <s v="300-CMA-1974-2020/500-AO-1929-2022_x000a_300-CMA-1974-2020 500-AO-1930-2022"/>
    <d v="2022-05-25T00:00:00"/>
    <n v="150974278"/>
    <s v="EQUIPOS Y HERRAMIENTAS INDUSTRIALES SAS"/>
    <s v="202205614_x000a_20225615"/>
    <n v="0"/>
    <m/>
    <m/>
    <m/>
    <m/>
    <m/>
    <s v="YUMBO"/>
    <s v="MUNICIPAL"/>
    <m/>
    <n v="0"/>
    <n v="1"/>
    <n v="0"/>
    <n v="51"/>
  </r>
  <r>
    <n v="230"/>
    <s v="0273"/>
    <s v="GUENE"/>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s v="ESTEFANIA SANCHEZ"/>
    <d v="2022-04-20T00:00:00"/>
    <n v="43"/>
    <n v="43"/>
    <s v="SI"/>
    <s v="Entregado al area"/>
    <x v="1"/>
    <s v="5 DE MAYO EN REVISION POR PARTE DE LA COORDINADORA_x000a_23 DE MAYO ENTREGADO AL AREA"/>
    <m/>
    <d v="2022-05-23T00:00:00"/>
    <x v="8"/>
    <m/>
    <n v="33"/>
    <n v="33"/>
    <s v="N/A"/>
    <s v="FUNCIONAMIENTO"/>
    <s v="300-CMA-1743-2021/500-AO-1915-2022"/>
    <d v="2022-05-13T00:00:00"/>
    <n v="575920016"/>
    <s v="CENTELSA SA"/>
    <m/>
    <n v="30311580"/>
    <m/>
    <m/>
    <m/>
    <m/>
    <m/>
    <m/>
    <m/>
    <m/>
    <n v="5.0000000329906924E-2"/>
    <n v="1"/>
    <n v="0"/>
    <n v="33"/>
  </r>
  <r>
    <n v="231"/>
    <s v="0274"/>
    <s v="GUENAA"/>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s v="SIN ASIGNAR"/>
    <m/>
    <e v="#VALUE!"/>
    <e v="#VALUE!"/>
    <s v="NO"/>
    <s v="Devuelto"/>
    <x v="2"/>
    <m/>
    <s v="DEVUELTO POR SOLICITUD DEL AREA EL 25DE ABRIL"/>
    <d v="2022-04-25T00:00:00"/>
    <x v="5"/>
    <s v="abr"/>
    <n v="4"/>
    <n v="44676"/>
    <m/>
    <s v="FUNCIONAMIENTO"/>
    <m/>
    <m/>
    <m/>
    <m/>
    <m/>
    <m/>
    <m/>
    <m/>
    <m/>
    <m/>
    <m/>
    <m/>
    <m/>
    <m/>
    <m/>
    <n v="1"/>
    <m/>
    <m/>
  </r>
  <r>
    <n v="232"/>
    <s v="0275"/>
    <s v="GUENE"/>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s v="HAROLD MONDRAGON"/>
    <d v="2022-04-22T00:00:00"/>
    <e v="#VALUE!"/>
    <e v="#VALUE!"/>
    <s v="NO"/>
    <s v="Cerrado"/>
    <x v="0"/>
    <m/>
    <s v="9 de mayo en elaboracion de la fpa y cc_x000a_24 DE MAYO SE PUBLICARA_x000a_9 DE JUNIO CERRADO POR FALTA DE PRESUPUESTO"/>
    <d v="2022-06-09T00:00:00"/>
    <x v="5"/>
    <s v="jun"/>
    <n v="49"/>
    <n v="48"/>
    <m/>
    <s v="INVERSION"/>
    <m/>
    <m/>
    <m/>
    <m/>
    <m/>
    <m/>
    <m/>
    <m/>
    <m/>
    <m/>
    <m/>
    <m/>
    <m/>
    <m/>
    <m/>
    <n v="1"/>
    <m/>
    <m/>
  </r>
  <r>
    <n v="233"/>
    <s v="0276"/>
    <s v="GUENE"/>
    <d v="2022-04-21T00:00:00"/>
    <x v="4"/>
    <s v="GE0291"/>
    <s v="FR-500-GE-0196-2022"/>
    <s v="N/A"/>
    <s v="Suministro DDP y configuaración de medidores ION SCHNEIDER 92040 para la calidad de la energía en subestaciones, , clase A."/>
    <n v="886776000"/>
    <m/>
    <s v="900-IPU-0276-2022"/>
    <s v="IPU"/>
    <n v="202202877"/>
    <m/>
    <s v="N/A"/>
    <s v="N/A"/>
    <s v="Mayor cuantia"/>
    <x v="0"/>
    <s v="JULIETA ORTIZ"/>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x v="5"/>
    <s v="ago"/>
    <n v="103"/>
    <n v="81"/>
    <s v="G"/>
    <s v="INVERSION"/>
    <m/>
    <m/>
    <m/>
    <m/>
    <m/>
    <m/>
    <m/>
    <m/>
    <m/>
    <m/>
    <m/>
    <m/>
    <m/>
    <m/>
    <m/>
    <n v="1"/>
    <m/>
    <m/>
  </r>
  <r>
    <n v="234"/>
    <s v="0277"/>
    <s v="GTI"/>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s v="PAOLA BELTRAN"/>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x v="1"/>
    <m/>
    <n v="103"/>
    <n v="102"/>
    <s v="N/A"/>
    <s v="FUNCIONAMIENTO"/>
    <s v="200-AO-2035-2022"/>
    <d v="2022-07-19T00:00:00"/>
    <n v="1477993090"/>
    <s v="GRUPOSIT SAS"/>
    <n v="202207181"/>
    <n v="6858350"/>
    <m/>
    <m/>
    <m/>
    <m/>
    <m/>
    <s v="CALI"/>
    <s v="LOCAL"/>
    <s v="GTI"/>
    <n v="4.6188795829972054E-3"/>
    <n v="0"/>
    <n v="2"/>
    <n v="103"/>
  </r>
  <r>
    <n v="235"/>
    <s v="0278"/>
    <s v="GAGHA"/>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s v="LEIDY FRANCO"/>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x v="1"/>
    <m/>
    <n v="131"/>
    <n v="130"/>
    <s v="N/A"/>
    <s v="FUNCIONAMIENTO"/>
    <s v="800-AO-2146-2022"/>
    <d v="2022-08-11T00:00:00"/>
    <n v="999600000"/>
    <s v="KOMATSU COLOMBIA SAS"/>
    <n v="202207814"/>
    <n v="53553998"/>
    <m/>
    <m/>
    <m/>
    <m/>
    <m/>
    <s v="CHIA CUNDINAMARCA"/>
    <s v="NACIONAL"/>
    <s v="UNIDAD GESTION ADMINISTRATIVA"/>
    <n v="5.0851060815134463E-2"/>
    <n v="0"/>
    <n v="2"/>
    <n v="105"/>
  </r>
  <r>
    <n v="236"/>
    <s v="0279"/>
    <s v="GAGHA"/>
    <d v="2022-04-21T00:00:00"/>
    <x v="4"/>
    <s v="GHA0080"/>
    <s v="FR-800-GHA-0145-2022"/>
    <s v="900-CMA-1925-2022"/>
    <s v="Realizar las adecuaciones locativas en el Centro de Atención Yumbo y obras complementarias"/>
    <n v="1728625910"/>
    <m/>
    <s v="N/A"/>
    <s v=""/>
    <s v="202203022_x000a_202203124"/>
    <n v="112460756"/>
    <s v="N/A"/>
    <s v="N/A"/>
    <s v="N/A"/>
    <x v="3"/>
    <s v="FRANCIA RAMÍREZ"/>
    <d v="2022-04-26T00:00:00"/>
    <e v="#VALUE!"/>
    <e v="#VALUE!"/>
    <s v="NO"/>
    <s v="Devuelto"/>
    <x v="2"/>
    <m/>
    <s v="5 de mayo se devolvio al area para que se incluya en el contrato marco de locativos"/>
    <d v="2022-05-05T00:00:00"/>
    <x v="5"/>
    <s v="may"/>
    <n v="14"/>
    <n v="9"/>
    <s v="N/A"/>
    <s v="INVERSION"/>
    <m/>
    <m/>
    <m/>
    <m/>
    <m/>
    <m/>
    <m/>
    <m/>
    <m/>
    <m/>
    <m/>
    <m/>
    <m/>
    <m/>
    <m/>
    <n v="0"/>
    <m/>
    <m/>
  </r>
  <r>
    <n v="237"/>
    <s v="0280"/>
    <s v="GAGHA"/>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s v="FRANCIA RAMÍREZ"/>
    <d v="2022-04-22T00:00:00"/>
    <n v="42"/>
    <n v="41"/>
    <s v="SI"/>
    <s v="Entregado al area"/>
    <x v="1"/>
    <s v="9 de mayo para solicitud de polizas_x000a_13 DE MAYO ENTREGADO AL AREA"/>
    <m/>
    <d v="2022-05-13T00:00:00"/>
    <x v="8"/>
    <m/>
    <n v="22"/>
    <n v="21"/>
    <s v="N/A"/>
    <s v="FUNCIONAMIENTO"/>
    <s v="800-CMA-1913-2021/800-AO-1909-2022"/>
    <d v="2022-05-02T00:00:00"/>
    <n v="106837718"/>
    <s v="GUSTAVO ADOLFO  TORRES DUARTE"/>
    <m/>
    <n v="5623038"/>
    <m/>
    <m/>
    <s v="N/A"/>
    <s v="N/A"/>
    <m/>
    <s v="CALI"/>
    <s v="LOCAL"/>
    <m/>
    <n v="5.0000001778398147E-2"/>
    <n v="0"/>
    <n v="0"/>
    <n v="22"/>
  </r>
  <r>
    <n v="238"/>
    <s v="0281"/>
    <s v="GAGHA"/>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s v="LEIDY DIANA FRANCO"/>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x v="5"/>
    <s v="jul"/>
    <n v="87"/>
    <n v="87"/>
    <m/>
    <s v="FUNCIONAMIENTO"/>
    <m/>
    <m/>
    <m/>
    <m/>
    <m/>
    <m/>
    <m/>
    <m/>
    <m/>
    <m/>
    <m/>
    <m/>
    <m/>
    <m/>
    <m/>
    <n v="0"/>
    <m/>
    <m/>
  </r>
  <r>
    <n v="239"/>
    <s v="0282"/>
    <s v="GTI"/>
    <d v="2022-04-22T00:00:00"/>
    <x v="4"/>
    <s v="GTI0021"/>
    <s v="FR-200-GTI-0096-2022"/>
    <s v="N/A"/>
    <s v="Contratar el servicio de soporte actualización y mantenimiento del software SAP"/>
    <n v="1240383280"/>
    <m/>
    <m/>
    <s v=""/>
    <s v="202203525_x000a_202202915"/>
    <m/>
    <s v="N/A"/>
    <s v="N/A"/>
    <s v="Mayor cuantia"/>
    <x v="3"/>
    <s v="PABLO CAICEDO"/>
    <d v="2022-04-25T00:00:00"/>
    <e v="#VALUE!"/>
    <e v="#VALUE!"/>
    <s v="NO"/>
    <s v="Cerrado"/>
    <x v="0"/>
    <m/>
    <s v="5 DE MAYO EN ELABORACION DE LA FPA Y CC_x000a_17 de mayo en respuesta a observaciones_x000a_9 de junio cerrado porque se declaro desierto"/>
    <d v="2022-06-09T00:00:00"/>
    <x v="5"/>
    <s v="jun"/>
    <n v="48"/>
    <n v="45"/>
    <m/>
    <s v="FUNCIONAMIENTO"/>
    <m/>
    <m/>
    <m/>
    <m/>
    <m/>
    <m/>
    <m/>
    <m/>
    <m/>
    <m/>
    <m/>
    <m/>
    <m/>
    <m/>
    <m/>
    <n v="0"/>
    <m/>
    <m/>
  </r>
  <r>
    <n v="240"/>
    <s v="0283"/>
    <s v="GTI"/>
    <d v="2022-04-22T00:00:00"/>
    <x v="4"/>
    <s v="GTI0179"/>
    <s v="FR-200-GTI-0099-2022"/>
    <s v="N/A"/>
    <s v="Servicio de Soporte y Mantenimiento aplicativo JURISOFT"/>
    <n v="36930000"/>
    <m/>
    <s v="900-IPU-0283-2022"/>
    <s v="IPU"/>
    <n v="202202335"/>
    <m/>
    <s v="N/A"/>
    <s v="N/A"/>
    <s v="Menor cuantia"/>
    <x v="0"/>
    <s v="PAOLA BELTRAN"/>
    <d v="2022-04-25T00:00:00"/>
    <e v="#VALUE!"/>
    <e v="#VALUE!"/>
    <s v="NO"/>
    <s v="Cerrado"/>
    <x v="0"/>
    <m/>
    <s v="17 de mayo respuesta a observaciones_x000a_24 DE MAYO EN EVALUACION SOBRE 1_x000a_8 junio en evaluacion sobre 1 se va a cerrar, SE REALIZARA POR SECRETARIA GENERAL PORQUE ES UN SAM"/>
    <d v="2022-06-08T00:00:00"/>
    <x v="5"/>
    <s v="jun"/>
    <n v="47"/>
    <n v="44"/>
    <m/>
    <s v="FUNCIONAMIENTO"/>
    <m/>
    <m/>
    <m/>
    <m/>
    <m/>
    <m/>
    <m/>
    <m/>
    <m/>
    <m/>
    <m/>
    <m/>
    <m/>
    <m/>
    <m/>
    <n v="0"/>
    <m/>
    <m/>
  </r>
  <r>
    <n v="241"/>
    <s v="0284"/>
    <s v="GTI"/>
    <d v="2022-04-22T00:00:00"/>
    <x v="4"/>
    <s v="GTI0106"/>
    <s v="FR-200-GTI-0100-2022"/>
    <s v="N/A"/>
    <s v="Servicio de Soporte y Mantenimiento aplicativo_x000a_DARUMA"/>
    <n v="41142193"/>
    <m/>
    <s v="900-IPU-0284-2022"/>
    <s v="IPU"/>
    <s v="202201949_x000a_202203487"/>
    <m/>
    <s v="N/A"/>
    <s v="N/A"/>
    <s v="Menor cuantia"/>
    <x v="0"/>
    <s v="PAOLA BELTRAN"/>
    <d v="2022-04-25T00:00:00"/>
    <e v="#VALUE!"/>
    <e v="#VALUE!"/>
    <s v="NO"/>
    <s v="Cerrado"/>
    <x v="0"/>
    <m/>
    <s v="17 DE MAYO EN REVISION DE LA CC _x000a_26 DE MAYO SE RECIBEN OFERTAS_x000a_2 de junio cerrado  SE DEVOLVIO PORQUE SE SACARA POR SECREATRIA GENERAL"/>
    <d v="2022-06-02T00:00:00"/>
    <x v="5"/>
    <s v="jun"/>
    <n v="41"/>
    <n v="38"/>
    <m/>
    <s v="FUNCIONAMIENTO"/>
    <m/>
    <m/>
    <m/>
    <m/>
    <m/>
    <m/>
    <m/>
    <m/>
    <m/>
    <m/>
    <m/>
    <m/>
    <m/>
    <m/>
    <m/>
    <n v="0"/>
    <m/>
    <m/>
  </r>
  <r>
    <n v="242"/>
    <s v="0285"/>
    <s v="GUENE"/>
    <d v="2022-04-08T00:00:00"/>
    <x v="4"/>
    <s v="GE0313"/>
    <s v="FR-500-GE-0115-2022"/>
    <s v="N/A"/>
    <s v="Calibración de Instrumentos y Equipos de Laboratorio"/>
    <n v="40712800"/>
    <m/>
    <s v="900-IPU-0285-2022"/>
    <s v="IPU"/>
    <n v="202201683"/>
    <m/>
    <s v="N/A"/>
    <s v="N/A"/>
    <s v="Menor cuantia"/>
    <x v="0"/>
    <s v="JUAN DAVID GOMEZ"/>
    <d v="2022-04-08T00:00:00"/>
    <e v="#VALUE!"/>
    <e v="#VALUE!"/>
    <s v="NO"/>
    <s v="Cerrado"/>
    <x v="0"/>
    <m/>
    <s v="28 de abril publicado _x000a_11 de mayo se reciben ofertas_x000a_17 DE MAYO SE CERRO PORQUE NINGUN OFERENTE SE PRESENTO"/>
    <d v="2022-05-17T00:00:00"/>
    <x v="5"/>
    <s v="may"/>
    <n v="39"/>
    <n v="39"/>
    <s v="G"/>
    <s v="FUNCIONAMIENTO"/>
    <m/>
    <m/>
    <m/>
    <m/>
    <m/>
    <m/>
    <n v="40712800"/>
    <m/>
    <m/>
    <m/>
    <m/>
    <m/>
    <m/>
    <m/>
    <m/>
    <n v="1"/>
    <m/>
    <m/>
  </r>
  <r>
    <n v="243"/>
    <s v="0286"/>
    <s v="GUENAA"/>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s v="HAROLD MONDRAGON"/>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x v="5"/>
    <s v="dic"/>
    <n v="221"/>
    <n v="220"/>
    <m/>
    <s v="INVERSION"/>
    <m/>
    <m/>
    <m/>
    <m/>
    <m/>
    <m/>
    <m/>
    <m/>
    <m/>
    <m/>
    <m/>
    <m/>
    <m/>
    <m/>
    <m/>
    <n v="1"/>
    <m/>
    <m/>
  </r>
  <r>
    <n v="244"/>
    <s v="0287"/>
    <s v="GUENAA"/>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s v="JUAN PABLO QUIMBAYO"/>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x v="5"/>
    <s v="oct"/>
    <n v="177"/>
    <n v="173"/>
    <m/>
    <s v="INVERSION"/>
    <m/>
    <m/>
    <m/>
    <m/>
    <m/>
    <m/>
    <m/>
    <m/>
    <m/>
    <m/>
    <m/>
    <m/>
    <m/>
    <m/>
    <m/>
    <n v="1"/>
    <m/>
    <m/>
  </r>
  <r>
    <n v="245"/>
    <s v="0288"/>
    <s v="GUENAA"/>
    <d v="2022-04-25T00:00:00"/>
    <x v="4"/>
    <s v="GAA0266_x000a_GAA0268"/>
    <s v="FR-300-GAA-0139-2022"/>
    <s v="N/A"/>
    <s v="Suministro e instalación de unidades de bombeo centrifugas PTAP y Bocatoma &quot;La Reforma&quot;"/>
    <n v="62299950"/>
    <m/>
    <s v="900-IPU-0288-2022"/>
    <s v="IPU"/>
    <s v="202202917_x000a_202202918"/>
    <m/>
    <s v="N/A"/>
    <s v="N/A"/>
    <s v="Menor cuantia"/>
    <x v="0"/>
    <s v="ANA MARIA GIL"/>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x v="5"/>
    <s v="jun"/>
    <n v="43"/>
    <n v="42"/>
    <m/>
    <s v="INVERSION"/>
    <m/>
    <m/>
    <m/>
    <m/>
    <m/>
    <m/>
    <m/>
    <m/>
    <m/>
    <m/>
    <m/>
    <m/>
    <m/>
    <m/>
    <m/>
    <n v="1"/>
    <m/>
    <m/>
  </r>
  <r>
    <n v="246"/>
    <s v="0289"/>
    <s v="GTI"/>
    <d v="2022-04-26T00:00:00"/>
    <x v="4"/>
    <s v="GTI0082"/>
    <s v="FR-200-GTI-0098-2022"/>
    <s v="N/A"/>
    <s v="Servicio en la nube (SaaS) del software AutoCad (AutoCad Full, AutoCad LT)"/>
    <n v="97036465"/>
    <m/>
    <s v="900-IPU-0289-2022"/>
    <s v="IPU"/>
    <n v="202202916"/>
    <m/>
    <s v="N/A"/>
    <s v="N/A"/>
    <s v="Menor cuantia"/>
    <x v="0"/>
    <s v="PAOLA BELTRAN"/>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x v="5"/>
    <s v="nov"/>
    <n v="212"/>
    <n v="212"/>
    <m/>
    <s v="FUNCIONAMIENTO"/>
    <m/>
    <m/>
    <m/>
    <m/>
    <m/>
    <m/>
    <m/>
    <m/>
    <m/>
    <m/>
    <m/>
    <m/>
    <m/>
    <m/>
    <m/>
    <n v="0"/>
    <m/>
    <m/>
  </r>
  <r>
    <n v="247"/>
    <s v="0290"/>
    <s v="GUENAA"/>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s v="LINA ECHAVARRIA"/>
    <d v="2022-04-25T00:00:00"/>
    <e v="#VALUE!"/>
    <e v="#VALUE!"/>
    <s v="NO"/>
    <s v="Devuelto"/>
    <x v="2"/>
    <m/>
    <s v="17 de mayo el area solicito unos ajustes y solicito devolverla"/>
    <d v="2022-05-17T00:00:00"/>
    <x v="5"/>
    <s v="may"/>
    <n v="22"/>
    <n v="22"/>
    <s v="G"/>
    <s v="FUNCIONAMIENTO"/>
    <m/>
    <m/>
    <m/>
    <m/>
    <m/>
    <m/>
    <m/>
    <m/>
    <m/>
    <m/>
    <m/>
    <m/>
    <m/>
    <m/>
    <m/>
    <n v="1"/>
    <m/>
    <m/>
  </r>
  <r>
    <n v="248"/>
    <s v="0291"/>
    <s v="GUENAA"/>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s v="LUCY ARBELAEZ"/>
    <d v="2022-04-27T00:00:00"/>
    <n v="-44678"/>
    <n v="-44678"/>
    <s v="SI"/>
    <s v="Entregado al area"/>
    <x v="1"/>
    <s v="17 de mayo en invitacion de ofertas_x000a_23 DE MAYOEN RECEPCION DE OFERTAS_x000a_9 de junio en rp"/>
    <m/>
    <d v="2022-06-29T00:00:00"/>
    <x v="10"/>
    <m/>
    <n v="63"/>
    <n v="63"/>
    <s v="N/A"/>
    <s v="FUNCIONAMIENTO"/>
    <s v="300-CMA-1974-2020-300-AO-1964-2022_x000a__x000a_300-CMA-1974-2020-300-AO-1965-2022"/>
    <d v="2022-06-21T00:00:00"/>
    <n v="54579607"/>
    <s v="ALMACEN  RODAFER  RF SAS_x000a_EQUIPOS Y HERRAMIENTAS INDUSTRAILES SAS"/>
    <s v="202205824_x000a_202205825"/>
    <n v="268751"/>
    <m/>
    <m/>
    <m/>
    <m/>
    <m/>
    <s v="CALI"/>
    <s v="LOCAL"/>
    <s v="UNIDAD DE BOMBEO"/>
    <n v="4.8998914425113695E-3"/>
    <n v="1"/>
    <n v="0"/>
    <n v="63"/>
  </r>
  <r>
    <n v="249"/>
    <s v="0292"/>
    <s v="GUENAA"/>
    <d v="2022-04-27T00:00:00"/>
    <x v="4"/>
    <s v="GAA0636"/>
    <s v="FR-300-GAA-0144-2022"/>
    <s v="N/A"/>
    <s v="Suministro e Instalación de valvulas cheque para clorinadores PTAP"/>
    <n v="146915020"/>
    <m/>
    <s v="900-IPU-0292-2022"/>
    <s v="IPU"/>
    <n v="202202905"/>
    <m/>
    <s v="N/A"/>
    <s v="N/A"/>
    <s v="Menor cuantia"/>
    <x v="0"/>
    <s v="JUAN DAVID GOMEZ"/>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x v="5"/>
    <s v="may"/>
    <n v="23"/>
    <n v="11"/>
    <s v="G"/>
    <s v="FUNCIONAMIENTO"/>
    <m/>
    <m/>
    <m/>
    <m/>
    <m/>
    <m/>
    <m/>
    <m/>
    <m/>
    <m/>
    <m/>
    <m/>
    <m/>
    <m/>
    <m/>
    <n v="1"/>
    <m/>
    <m/>
  </r>
  <r>
    <n v="250"/>
    <s v="0293"/>
    <s v="GUENAA"/>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s v="JUAN PABLO QUIMBAYO"/>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x v="5"/>
    <s v="ago"/>
    <n v="94"/>
    <n v="88"/>
    <m/>
    <s v="FUNCIONAMIENTO"/>
    <m/>
    <m/>
    <m/>
    <m/>
    <m/>
    <m/>
    <m/>
    <m/>
    <m/>
    <m/>
    <m/>
    <m/>
    <m/>
    <m/>
    <m/>
    <n v="1"/>
    <m/>
    <m/>
  </r>
  <r>
    <n v="251"/>
    <s v="0294"/>
    <s v="GTI"/>
    <d v="2022-04-29T00:00:00"/>
    <x v="4"/>
    <s v="GTI0027"/>
    <s v="FR-200-GTI-0101-2022"/>
    <s v="N/A"/>
    <s v="Renovación de las suscripciones en la nube de Microsoft Dynamics CRM"/>
    <n v="455000000"/>
    <m/>
    <s v="900-IPU-0294-2022"/>
    <s v="IPU"/>
    <n v="202203098"/>
    <m/>
    <s v="N/A"/>
    <s v="N/A"/>
    <s v="Menor cuantia"/>
    <x v="0"/>
    <s v="PAOLA BELTRAN"/>
    <d v="2022-04-30T00:00:00"/>
    <e v="#VALUE!"/>
    <e v="#VALUE!"/>
    <s v="NO"/>
    <s v="Cerrado"/>
    <x v="0"/>
    <m/>
    <s v="17 de mayo en recepcion de observaciones_x000a_9 de junio evaluacion_x000a_22 DE JUNIO CERRADO PORQUE NO CUMPLIERON LOS PROPONENTES"/>
    <d v="2022-06-22T00:00:00"/>
    <x v="5"/>
    <s v="jun"/>
    <n v="54"/>
    <n v="53"/>
    <m/>
    <s v="FUNCIONAMIENTO"/>
    <m/>
    <m/>
    <m/>
    <m/>
    <m/>
    <m/>
    <m/>
    <m/>
    <m/>
    <m/>
    <m/>
    <m/>
    <m/>
    <m/>
    <m/>
    <n v="0"/>
    <m/>
    <m/>
  </r>
  <r>
    <n v="252"/>
    <s v="0295"/>
    <s v="GUENAA"/>
    <d v="2022-04-29T00:00:00"/>
    <x v="4"/>
    <s v="GAA0374_x000a_GAA0375"/>
    <s v="FR-300-GAA-0142-2022"/>
    <s v="N/A"/>
    <s v="Suministro de elementos eléctricos para todas las estaciones de bombeo de aguas lluvias y/o residuales"/>
    <n v="62022081"/>
    <m/>
    <s v="900-IPU-0295-2022"/>
    <s v="IPU"/>
    <n v="202201836"/>
    <m/>
    <s v="N/A"/>
    <s v="N/A"/>
    <s v="Menor cuantia"/>
    <x v="0"/>
    <s v="LINA ECHAVARRIA"/>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x v="5"/>
    <s v="jul"/>
    <n v="74"/>
    <n v="71"/>
    <m/>
    <s v="FUNCIONAMIENTO"/>
    <m/>
    <m/>
    <m/>
    <m/>
    <m/>
    <m/>
    <m/>
    <m/>
    <m/>
    <m/>
    <m/>
    <m/>
    <m/>
    <m/>
    <m/>
    <n v="1"/>
    <m/>
    <m/>
  </r>
  <r>
    <n v="253"/>
    <s v="0296"/>
    <s v="GAGHA"/>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x v="11"/>
    <m/>
    <n v="142"/>
    <n v="142"/>
    <s v="N/A"/>
    <s v="FUNCIONAMIENTO"/>
    <s v="800-CMA-1916-2021/800-AO-2259-2022"/>
    <d v="2022-09-07T00:00:00"/>
    <n v="36514969"/>
    <s v="CONSORCIO IGS 2021"/>
    <n v="202208357"/>
    <n v="0"/>
    <m/>
    <m/>
    <m/>
    <m/>
    <m/>
    <s v="CALI"/>
    <s v="LOCAL"/>
    <s v="UNIDAD GESTIÓN ADMINISTRATIVA"/>
    <n v="0"/>
    <n v="0"/>
    <n v="0"/>
    <n v="142"/>
  </r>
  <r>
    <n v="254"/>
    <s v="0297"/>
    <s v="GAGHA"/>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x v="11"/>
    <m/>
    <n v="142"/>
    <n v="142"/>
    <s v="N/A"/>
    <s v="FUNCIONAMIENTO"/>
    <s v="CMA-1925-2021-800-AO-2261-2022 "/>
    <d v="2022-09-07T00:00:00"/>
    <n v="50000000"/>
    <s v="CONSORCIO DOMAQ 2021"/>
    <n v="202208355"/>
    <n v="0"/>
    <m/>
    <m/>
    <m/>
    <m/>
    <m/>
    <s v="CALI"/>
    <s v="LOCAL"/>
    <s v="UNIDAD GESTIÓN ADMINISTRATIVA"/>
    <n v="0"/>
    <n v="0"/>
    <n v="0"/>
    <n v="142"/>
  </r>
  <r>
    <n v="255"/>
    <s v="0298"/>
    <s v="GAGHA"/>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x v="11"/>
    <m/>
    <n v="133"/>
    <n v="133"/>
    <s v="N/A"/>
    <s v="FUNCIONAMIENTO"/>
    <s v="800-CMA-1913-2021/800-AO-2250-2022"/>
    <d v="2022-09-05T00:00:00"/>
    <n v="50000000"/>
    <s v="GUSTAVO ADOLFO TORRES DUARTE"/>
    <n v="202208310"/>
    <n v="0"/>
    <m/>
    <m/>
    <m/>
    <m/>
    <m/>
    <s v="BOGOTA"/>
    <s v="NACIONAL"/>
    <s v="UNIDAD GESTIÓN ADMINISTRATIVA"/>
    <n v="0"/>
    <n v="0"/>
    <n v="0"/>
    <n v="133"/>
  </r>
  <r>
    <n v="256"/>
    <s v="0299"/>
    <s v="GAGHA"/>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s v="LEIDY DIANA FRANCO"/>
    <d v="2022-05-02T00:00:00"/>
    <e v="#VALUE!"/>
    <e v="#VALUE!"/>
    <s v="NO"/>
    <s v="Devuelto"/>
    <x v="2"/>
    <m/>
    <s v="23 DE MAYO EN INTELIGENCIA DE MERCADO_x000a_8 DE JUNIO CERRADO PARA SACAR POR IP_x000a_ESTE PROCESO SE DEVOLVIO PORQUE LO VAN A VOLVER A RADICAR CON ESPECIFICACIONES DISTINTAS "/>
    <d v="2022-07-27T00:00:00"/>
    <x v="5"/>
    <s v="jul"/>
    <n v="86"/>
    <n v="86"/>
    <m/>
    <s v="FUNCIONAMIENTO"/>
    <m/>
    <m/>
    <m/>
    <m/>
    <m/>
    <m/>
    <m/>
    <m/>
    <m/>
    <m/>
    <m/>
    <m/>
    <m/>
    <m/>
    <m/>
    <n v="0"/>
    <m/>
    <m/>
  </r>
  <r>
    <n v="257"/>
    <s v="0300"/>
    <s v="GUENE"/>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s v="JUAN PABLO QUIMBAYO"/>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x v="5"/>
    <s v="ago"/>
    <n v="91"/>
    <n v="91"/>
    <m/>
    <s v="FUNCIONAMIENTO"/>
    <m/>
    <m/>
    <m/>
    <m/>
    <m/>
    <m/>
    <m/>
    <m/>
    <m/>
    <m/>
    <m/>
    <m/>
    <m/>
    <m/>
    <m/>
    <n v="1"/>
    <m/>
    <m/>
  </r>
  <r>
    <n v="258"/>
    <s v="0301"/>
    <s v="GUENAA"/>
    <d v="2022-05-05T00:00:00"/>
    <x v="5"/>
    <s v="GAA0667"/>
    <s v="FR-300-GAA-0148-2022"/>
    <s v="N/A"/>
    <s v="Suministro valvulas bocatoma Río Cauca"/>
    <n v="137054145"/>
    <m/>
    <s v="900-IPU-0301-2022"/>
    <s v="IPU"/>
    <n v="202203121"/>
    <m/>
    <s v="N/A"/>
    <s v="N/A"/>
    <s v="Menor cuantia"/>
    <x v="0"/>
    <s v="LINA ECHAVARRIA"/>
    <d v="2022-05-10T00:00:00"/>
    <e v="#VALUE!"/>
    <e v="#VALUE!"/>
    <s v="NO"/>
    <s v="CERRADO PARA TRAMITAR COMO IP "/>
    <x v="0"/>
    <m/>
    <s v="17 de mayo en inteligencia de mercado_x000a_24 DE MAYO EN INTELIGENCIA DE MERCADO_x000a_9 de junio pendiente firma de la fpa y cc"/>
    <d v="2022-06-09T00:00:00"/>
    <x v="5"/>
    <s v="jun"/>
    <n v="35"/>
    <n v="30"/>
    <m/>
    <s v="FUNCIONAMIENTO"/>
    <m/>
    <m/>
    <m/>
    <m/>
    <m/>
    <m/>
    <m/>
    <m/>
    <m/>
    <m/>
    <m/>
    <m/>
    <m/>
    <m/>
    <m/>
    <n v="1"/>
    <m/>
    <m/>
  </r>
  <r>
    <n v="259"/>
    <s v="0302"/>
    <s v="GUENAA"/>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s v="HAROLD MONDRAGON"/>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x v="11"/>
    <m/>
    <n v="120"/>
    <n v="115"/>
    <s v="N/A"/>
    <s v="FUNCIONAMIENTO"/>
    <s v="300-AO-2175-2022"/>
    <d v="2022-08-19T00:00:00"/>
    <n v="271765060"/>
    <s v="PAYAN Y CIA LTDA "/>
    <n v="202208264"/>
    <n v="8225329"/>
    <m/>
    <m/>
    <m/>
    <m/>
    <m/>
    <s v="CALI"/>
    <s v="LOCAL"/>
    <s v="UNIDAD DE MANTENIMIENTO"/>
    <n v="2.9377183371819236E-2"/>
    <n v="1"/>
    <n v="2"/>
    <n v="109"/>
  </r>
  <r>
    <n v="260"/>
    <s v="0303"/>
    <s v="GUENAA"/>
    <d v="2022-05-04T00:00:00"/>
    <x v="5"/>
    <s v="GAA0303"/>
    <s v="FR-300-GAA-0059-2022"/>
    <s v="N/A"/>
    <s v="Mantenimiento sistema Scada a estaciones y plantas de tratamiento de Agua Potable"/>
    <n v="179985537"/>
    <s v="120 DIAS"/>
    <s v="900-IPU-0303-2022"/>
    <m/>
    <n v="202200892"/>
    <m/>
    <s v="N/A"/>
    <s v="N/A"/>
    <s v="Menor cuantia"/>
    <x v="0"/>
    <s v="HAROLD MONDRAGON"/>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x v="10"/>
    <m/>
    <n v="76"/>
    <n v="70"/>
    <s v="N/A"/>
    <s v="FUNCIONAMIENTO"/>
    <s v="300-AO-18987-2022"/>
    <d v="2022-07-08T00:00:00"/>
    <n v="176439396"/>
    <s v="CONINFRAESTRUCTURA SAS"/>
    <m/>
    <n v="3546141"/>
    <m/>
    <m/>
    <m/>
    <m/>
    <m/>
    <s v="BOGOTA"/>
    <s v="NACIONAL"/>
    <s v="UNIDAD DE MANTENIMIENTO"/>
    <n v="1.9702366418475059E-2"/>
    <n v="1"/>
    <n v="2"/>
    <n v="76"/>
  </r>
  <r>
    <n v="261"/>
    <s v="0304"/>
    <s v="GTI"/>
    <d v="2022-05-09T00:00:00"/>
    <x v="5"/>
    <s v="GTI0183"/>
    <s v="FR-200-GTI-0103-2022"/>
    <s v="N/A"/>
    <s v="Prestar los servicios de Cloud Funtional Services, Features y Parameters para la solución SAP Ariba Sourcing Suite de EMCALI EICE ESP"/>
    <n v="90170000"/>
    <m/>
    <m/>
    <s v=""/>
    <n v="202203526"/>
    <m/>
    <s v="N/A"/>
    <s v="N/A"/>
    <s v="Menor cuantia"/>
    <x v="3"/>
    <s v="PABLO CAICEDO"/>
    <d v="2022-05-19T00:00:00"/>
    <e v="#VALUE!"/>
    <e v="#VALUE!"/>
    <s v="NO"/>
    <s v="CERRADO PARA TRAMITAR COMO IP "/>
    <x v="0"/>
    <m/>
    <m/>
    <d v="2022-06-07T00:00:00"/>
    <x v="5"/>
    <s v="jun"/>
    <n v="29"/>
    <n v="19"/>
    <m/>
    <s v="FUNCIONAMIENTO"/>
    <m/>
    <m/>
    <m/>
    <m/>
    <m/>
    <m/>
    <m/>
    <m/>
    <m/>
    <m/>
    <m/>
    <m/>
    <m/>
    <m/>
    <m/>
    <n v="0"/>
    <m/>
    <m/>
  </r>
  <r>
    <n v="262"/>
    <s v="0305"/>
    <s v="GUENE"/>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s v="ESTEFANIA SANCHEZ"/>
    <d v="2022-05-09T00:00:00"/>
    <e v="#REF!"/>
    <e v="#REF!"/>
    <m/>
    <s v="Entregado al area"/>
    <x v="1"/>
    <s v="24 DE MAYO EN SOLICITUD DE POLIZAS"/>
    <m/>
    <d v="2022-06-02T00:00:00"/>
    <x v="9"/>
    <m/>
    <n v="24"/>
    <n v="24"/>
    <s v="N/A"/>
    <s v="FUNCIONAMIENTO"/>
    <s v="CMA-1743-2021/"/>
    <d v="2022-05-17T00:00:00"/>
    <n v="144299400"/>
    <s v="CENTELSA SA"/>
    <n v="202205444"/>
    <n v="7604100"/>
    <m/>
    <m/>
    <m/>
    <m/>
    <m/>
    <s v="YUMBO"/>
    <s v="LOCAL"/>
    <m/>
    <n v="5.0058754406580495E-2"/>
    <n v="1"/>
    <n v="0"/>
    <n v="24"/>
  </r>
  <r>
    <n v="263"/>
    <s v="0306"/>
    <s v="GTI"/>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s v="PAOLA BELTRAN"/>
    <d v="2022-05-18T00:00:00"/>
    <e v="#VALUE!"/>
    <e v="#VALUE!"/>
    <s v="NO"/>
    <s v="Cerrado"/>
    <x v="0"/>
    <m/>
    <s v="13 de junio en recepcion de ofertas_x000a_15 de julio en elaboracion de acta de cierre, las propuestas fueron inadmisibles"/>
    <d v="2022-07-15T00:00:00"/>
    <x v="5"/>
    <s v="jul"/>
    <n v="66"/>
    <n v="58"/>
    <m/>
    <s v="FUNCIONAMIENTO"/>
    <m/>
    <m/>
    <m/>
    <m/>
    <m/>
    <m/>
    <e v="#VALUE!"/>
    <m/>
    <m/>
    <m/>
    <m/>
    <m/>
    <m/>
    <m/>
    <m/>
    <n v="0"/>
    <m/>
    <m/>
  </r>
  <r>
    <n v="264"/>
    <s v="0307"/>
    <s v="GUENAA"/>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s v="HAROLD MONDRAGON"/>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x v="1"/>
    <m/>
    <n v="110"/>
    <n v="109"/>
    <s v="N/A"/>
    <s v="FUNCIONAMIENTO"/>
    <s v="300-PS-2179-2022"/>
    <d v="2022-08-19T00:00:00"/>
    <n v="10770820097"/>
    <s v="DELTEC SA"/>
    <n v="202207861"/>
    <n v="65818307"/>
    <m/>
    <m/>
    <m/>
    <m/>
    <m/>
    <s v="CALI"/>
    <s v="LOCAL"/>
    <s v="UNIDAD DE CONTROL INTEGRAL DE PERDIDAS DE AGUA"/>
    <n v="6.0736830506133033E-3"/>
    <n v="1"/>
    <n v="2"/>
    <n v="110"/>
  </r>
  <r>
    <n v="265"/>
    <s v="0308"/>
    <s v="GUENAA"/>
    <d v="2022-05-11T00:00:00"/>
    <x v="5"/>
    <s v="N/A"/>
    <s v="FR-300-GAA-0150-2022"/>
    <s v="N/A"/>
    <s v="Suministrar coagulante líquido para ser utilizado en el tratamiento de las aguas residuales en la PTAR C."/>
    <m/>
    <m/>
    <m/>
    <s v=""/>
    <s v="N/A"/>
    <m/>
    <s v="N/A"/>
    <s v="N/A"/>
    <s v="N/A"/>
    <x v="3"/>
    <s v="AYDEE OVALLE"/>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x v="5"/>
    <s v="ago"/>
    <n v="90"/>
    <n v="90"/>
    <m/>
    <s v="FUNCIONAMIENTO"/>
    <m/>
    <m/>
    <m/>
    <m/>
    <m/>
    <m/>
    <m/>
    <m/>
    <m/>
    <m/>
    <m/>
    <m/>
    <m/>
    <m/>
    <m/>
    <n v="1"/>
    <m/>
    <m/>
  </r>
  <r>
    <n v="266"/>
    <s v="0309"/>
    <s v="GUENAA"/>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s v="PAOLA BELTRAN"/>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x v="1"/>
    <m/>
    <n v="102"/>
    <n v="101"/>
    <s v="N/A"/>
    <s v="FUNCIONAMIENTO"/>
    <s v="300-AO-2164-2022"/>
    <d v="2022-08-19T00:00:00"/>
    <n v="148519461"/>
    <s v="IMATIC INGENIERIA SAS"/>
    <n v="202207856"/>
    <n v="5466539"/>
    <m/>
    <m/>
    <m/>
    <m/>
    <m/>
    <s v="CALI"/>
    <s v="LOCAL"/>
    <s v="UNIDAD DE SOPORTE OPERATIVO"/>
    <n v="3.5500233787487172E-2"/>
    <n v="1"/>
    <n v="2"/>
    <n v="102"/>
  </r>
  <r>
    <n v="267"/>
    <s v="0310"/>
    <s v="GUENE"/>
    <d v="2022-05-12T00:00:00"/>
    <x v="5"/>
    <s v="GE0324"/>
    <s v="FR-500-GE-0197-2022"/>
    <s v="N/A"/>
    <s v="Suministro de Medidores de Energía Electronicos para Medida Directa"/>
    <n v="667336173"/>
    <m/>
    <s v="900-IPU-0310-2022"/>
    <s v="IPU"/>
    <n v="202203902"/>
    <m/>
    <s v="N/A"/>
    <s v="N/A"/>
    <s v="Mayor cuantia"/>
    <x v="0"/>
    <s v="HAROLD MONDRAGON"/>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x v="5"/>
    <s v="jul"/>
    <n v="67"/>
    <n v="66"/>
    <m/>
    <s v="FUNCIONAMIENTO"/>
    <m/>
    <m/>
    <m/>
    <m/>
    <m/>
    <m/>
    <m/>
    <m/>
    <m/>
    <m/>
    <m/>
    <m/>
    <m/>
    <m/>
    <m/>
    <n v="1"/>
    <m/>
    <m/>
  </r>
  <r>
    <n v="268"/>
    <s v="0311"/>
    <s v="GUENE"/>
    <d v="2022-05-12T00:00:00"/>
    <x v="5"/>
    <s v="GE0243"/>
    <s v="FR-500-GE-0200-2022"/>
    <s v="N/A"/>
    <s v="Suministro de Equipo Cabrestante Portacarrete Portatil Motorizado"/>
    <n v="269000000"/>
    <m/>
    <s v="900-IPU-0311-2022"/>
    <s v="IPU"/>
    <n v="202203909"/>
    <m/>
    <s v="N/A"/>
    <s v="N/A"/>
    <s v="Menor cuantia"/>
    <x v="0"/>
    <s v="JULIETA ORTIZ"/>
    <d v="2022-05-13T00:00:00"/>
    <e v="#VALUE!"/>
    <e v="#VALUE!"/>
    <s v="NO"/>
    <s v="CERRADO PARA TRAMITAR COMO IP "/>
    <x v="0"/>
    <m/>
    <s v="24 DE MAYO EN SOLICITUD DE CONCEPTOS Y ESPRANDO INFO DEL AREA_x000a_2 de Junio en espera de la IM_x000a_8 de junio se cierra para realizarlo por IP "/>
    <d v="2022-06-08T00:00:00"/>
    <x v="5"/>
    <s v="jun"/>
    <n v="27"/>
    <n v="26"/>
    <s v="G"/>
    <s v="INVERSION"/>
    <m/>
    <m/>
    <m/>
    <m/>
    <m/>
    <m/>
    <m/>
    <m/>
    <m/>
    <m/>
    <m/>
    <m/>
    <m/>
    <m/>
    <m/>
    <n v="1"/>
    <m/>
    <m/>
  </r>
  <r>
    <n v="269"/>
    <s v="0312"/>
    <s v="GG"/>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s v="PAOLA BELTRAN"/>
    <d v="2022-05-18T00:00:00"/>
    <e v="#VALUE!"/>
    <e v="#VALUE!"/>
    <s v="NO"/>
    <s v="CERRADO PARA TRAMITAR COMO IP "/>
    <x v="0"/>
    <m/>
    <s v="24 DE MAYO EN ELABORACION DE FPA E INVITACION SE MANEJARA COMO IP_x000a_8 de junio se cierra porque se va a tramitar por ip despues de la ley de garantias"/>
    <d v="2022-06-08T00:00:00"/>
    <x v="5"/>
    <s v="jun"/>
    <n v="26"/>
    <n v="21"/>
    <m/>
    <s v="FUNCIONAMIENTO"/>
    <m/>
    <m/>
    <m/>
    <m/>
    <m/>
    <m/>
    <m/>
    <m/>
    <m/>
    <m/>
    <m/>
    <m/>
    <m/>
    <m/>
    <m/>
    <n v="0"/>
    <m/>
    <m/>
  </r>
  <r>
    <n v="270"/>
    <s v="0313"/>
    <s v="GUENAA"/>
    <d v="2022-05-16T00:00:00"/>
    <x v="5"/>
    <s v="PENDIENTE"/>
    <s v="FR-300-GAA-0061-2022"/>
    <s v="N/A"/>
    <s v="Suministro de dos variadores de velocidad de 1250 HP A 4160 Voltios Planta de Puerto Mallarino"/>
    <n v="3058210890"/>
    <s v="4 MESES"/>
    <s v="900-IPU-0313-2022"/>
    <m/>
    <n v="202202189"/>
    <n v="3058210890"/>
    <s v="N/A"/>
    <s v="N/A"/>
    <s v="Mayor cuantia"/>
    <x v="0"/>
    <s v="HAROLD MONDRAGON"/>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x v="10"/>
    <m/>
    <n v="64"/>
    <n v="64"/>
    <s v="N/A"/>
    <s v="INVERSION"/>
    <s v="300-AO-2052-2022"/>
    <d v="2022-07-25T00:00:00"/>
    <n v="3056537055"/>
    <s v="SOPORTE A LA INGENIERIA SAS"/>
    <n v="202207239"/>
    <n v="1673835"/>
    <m/>
    <m/>
    <m/>
    <m/>
    <m/>
    <s v="CALI"/>
    <s v="LOCAL"/>
    <s v="UNIDAD DE MANTENIMIENTO"/>
    <n v="5.4732490995740323E-4"/>
    <n v="1"/>
    <n v="2"/>
    <n v="64"/>
  </r>
  <r>
    <n v="271"/>
    <s v="0314"/>
    <s v="GUENAA"/>
    <d v="2022-05-17T00:00:00"/>
    <x v="5"/>
    <s v="GAA0378"/>
    <s v="FR-300-GAA-0151-2022"/>
    <s v="N/A"/>
    <s v="Mantenimiento equipos menores estaciones de bombeo de aguas lluvias y/o residuales"/>
    <n v="170109720"/>
    <m/>
    <s v="900-IPU-0316-2022"/>
    <s v="IPU"/>
    <n v="202201832"/>
    <m/>
    <s v="N/A"/>
    <s v="N/A"/>
    <s v="Menor cuantia"/>
    <x v="0"/>
    <s v="LINA ECHAVARRIA"/>
    <d v="2022-05-18T00:00:00"/>
    <e v="#VALUE!"/>
    <e v="#VALUE!"/>
    <s v="NO"/>
    <s v="CERRADO PARA TRAMITAR COMO IP "/>
    <x v="0"/>
    <m/>
    <s v="25 DE MAYO ELABOORACION FPA"/>
    <d v="2022-05-25T00:00:00"/>
    <x v="5"/>
    <s v="may"/>
    <n v="8"/>
    <n v="7"/>
    <m/>
    <s v="FUNCIONAMIENTO"/>
    <m/>
    <m/>
    <m/>
    <m/>
    <m/>
    <m/>
    <m/>
    <m/>
    <m/>
    <m/>
    <m/>
    <m/>
    <m/>
    <m/>
    <m/>
    <n v="1"/>
    <m/>
    <m/>
  </r>
  <r>
    <n v="272"/>
    <s v="0315"/>
    <s v="GUENE"/>
    <d v="2022-05-19T00:00:00"/>
    <x v="5"/>
    <s v="GE0324"/>
    <s v="FR-500-GE-0202-2022"/>
    <s v="N/A"/>
    <s v="Realizar empradización de la Plaza de Caycedo y Suministro de rollos de plástico"/>
    <n v="51600000"/>
    <s v="30 dias"/>
    <s v="900-IP-0315-2022"/>
    <m/>
    <n v="202203997"/>
    <n v="51600000"/>
    <s v="N/A"/>
    <s v="N/A"/>
    <s v="Menor cuantia"/>
    <x v="2"/>
    <s v="CRISTHIAN BURBANO"/>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x v="10"/>
    <m/>
    <n v="68"/>
    <n v="68"/>
    <s v="G"/>
    <s v="FUNCIONAMIENTO"/>
    <s v="500-AO-1989-2022"/>
    <d v="2022-07-08T00:00:00"/>
    <n v="50763020"/>
    <s v="PONTIFEX SAS"/>
    <n v="202206981"/>
    <n v="836980"/>
    <m/>
    <m/>
    <m/>
    <m/>
    <m/>
    <s v="CALI"/>
    <s v="LOCAL"/>
    <s v="SUBGERENCIA DISTRIBUCION"/>
    <n v="1.6220542635658915E-2"/>
    <n v="1"/>
    <n v="1"/>
    <n v="28"/>
  </r>
  <r>
    <n v="273"/>
    <s v="0316"/>
    <s v="GUENT"/>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s v="HAROLD MONDRAGON"/>
    <d v="2022-05-23T00:00:00"/>
    <e v="#VALUE!"/>
    <e v="#VALUE!"/>
    <s v="SI"/>
    <s v="Entregado al area"/>
    <x v="1"/>
    <s v="25 DE MAYO EN ELABORACION FPA_x000a_9 DE JUNIO SE CIERRA PARA REALIZAR POR IP"/>
    <m/>
    <d v="2022-09-12T00:00:00"/>
    <x v="11"/>
    <m/>
    <n v="116"/>
    <n v="112"/>
    <s v="B"/>
    <s v="INVERSION"/>
    <s v="400-AO-2256-2022"/>
    <d v="2022-09-06T00:00:00"/>
    <n v="3149999957"/>
    <s v="ITT SUPPLIES SAS"/>
    <n v="202208321"/>
    <n v="43"/>
    <m/>
    <m/>
    <m/>
    <m/>
    <m/>
    <s v="BOGOTA"/>
    <s v="NACIONAL"/>
    <s v="UNIDAD DE PROSPECTIVA Y DESARROLLO DE NEGOCIOS"/>
    <n v="1.3650793650793651E-8"/>
    <n v="1"/>
    <n v="2"/>
    <n v="116"/>
  </r>
  <r>
    <n v="274"/>
    <s v="0317"/>
    <s v="GUENE"/>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s v="HAROLD MONDRAGON"/>
    <d v="2022-05-20T00:00:00"/>
    <e v="#VALUE!"/>
    <e v="#VALUE!"/>
    <s v="NO"/>
    <s v="Cerrado"/>
    <x v="0"/>
    <m/>
    <s v="9 DE JUNIO EN SUBSANABLES_x000a_30 DE JUNIO CERRADO_x000a_18 DE JULIO SE CERRO PORQUE NINGUN OFERENTE CUMPLIO Y SE SACARA POR IP"/>
    <d v="2022-07-18T00:00:00"/>
    <x v="5"/>
    <s v="jul"/>
    <n v="60"/>
    <n v="59"/>
    <m/>
    <s v="FUNCIONAMIENTO"/>
    <m/>
    <m/>
    <m/>
    <m/>
    <m/>
    <m/>
    <n v="62492850"/>
    <m/>
    <m/>
    <m/>
    <m/>
    <m/>
    <m/>
    <m/>
    <m/>
    <n v="1"/>
    <m/>
    <m/>
  </r>
  <r>
    <n v="275"/>
    <s v="0318"/>
    <s v="GUENAA"/>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s v="JUAN PABLO QUIMBAYO"/>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x v="5"/>
    <s v="ago"/>
    <n v="73"/>
    <n v="70"/>
    <m/>
    <s v="INVERSION"/>
    <m/>
    <m/>
    <m/>
    <m/>
    <m/>
    <m/>
    <m/>
    <m/>
    <m/>
    <m/>
    <m/>
    <m/>
    <m/>
    <m/>
    <m/>
    <n v="1"/>
    <m/>
    <m/>
  </r>
  <r>
    <n v="276"/>
    <s v="0319"/>
    <s v="GUENAA"/>
    <d v="2022-05-25T00:00:00"/>
    <x v="5"/>
    <s v="GAA0712"/>
    <s v="FR-300-GAA-0154-2022"/>
    <s v="300-CMA-1974-2020"/>
    <s v="Suministro de materiales de ferreteria asociados con la ejecución de acometidas de acueducto afines para EMCALI EICE ESP"/>
    <n v="19667819"/>
    <s v="90 DIAS"/>
    <s v="N/A"/>
    <m/>
    <n v="202202645"/>
    <n v="23404705"/>
    <s v="N/A"/>
    <s v="N/A"/>
    <s v="N/A"/>
    <x v="1"/>
    <s v="LUCY ARBELAEZ"/>
    <d v="2022-05-25T00:00:00"/>
    <m/>
    <m/>
    <s v="SI"/>
    <s v="Entregado al area"/>
    <x v="1"/>
    <s v="9 de junio en invitacion a ofertar"/>
    <m/>
    <d v="2022-07-15T00:00:00"/>
    <x v="10"/>
    <m/>
    <n v="51"/>
    <n v="51"/>
    <s v="N/A"/>
    <s v="FUNCIONAMIENTO"/>
    <s v="300-CMA-1974-2020/300-AO-1972-2022"/>
    <d v="2022-06-28T00:00:00"/>
    <n v="19355438"/>
    <s v="EQUIPOS Y HERRAMIENTAS INDUSTRIALES SAS"/>
    <n v="202205861"/>
    <n v="312381"/>
    <m/>
    <m/>
    <m/>
    <m/>
    <m/>
    <s v="CALI"/>
    <s v="LOCAL"/>
    <s v="UNIDAD DE SOPORTE OPERATIVO"/>
    <n v="1.5882849033743904E-2"/>
    <n v="1"/>
    <n v="0"/>
    <n v="51"/>
  </r>
  <r>
    <n v="277"/>
    <s v="0320"/>
    <s v="GUENAA"/>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s v="LINA ECHAVARRIA"/>
    <d v="2022-05-25T00:00:00"/>
    <e v="#VALUE!"/>
    <e v="#VALUE!"/>
    <s v="SI"/>
    <s v="Entregado al area"/>
    <x v="1"/>
    <s v="30 DE JUNIO EN ELABORACION DE FPA E INVITACION_x000a_AYUDARA A SACAR EL PROCESO IVAN ALDANA_x000a_1 DE AGOST EN ELABORACION DE INVITACION"/>
    <m/>
    <d v="2022-09-26T00:00:00"/>
    <x v="11"/>
    <m/>
    <n v="124"/>
    <n v="124"/>
    <s v="G"/>
    <s v="FUNCIONAMIENTO"/>
    <s v="300-AO-2288-2022"/>
    <d v="2022-09-14T00:00:00"/>
    <n v="112978592"/>
    <s v="INGENIERIA ARANGO ANGEL SAS"/>
    <n v="202208433"/>
    <n v="618807"/>
    <m/>
    <m/>
    <m/>
    <m/>
    <m/>
    <s v="CALI"/>
    <s v="LOCAL"/>
    <s v="UNIDAD DE MANTENIMIENTO"/>
    <n v="5.4473694419711139E-3"/>
    <n v="1"/>
    <n v="1"/>
    <n v="76"/>
  </r>
  <r>
    <n v="278"/>
    <s v="0321"/>
    <s v="GUENAA"/>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s v="LUCY ARBELAEZ"/>
    <d v="2022-05-25T00:00:00"/>
    <n v="-44706"/>
    <n v="-44706"/>
    <s v="SI"/>
    <s v="Entregado al area"/>
    <x v="1"/>
    <s v="9 de junio en invitacion a ofertar"/>
    <m/>
    <d v="2022-07-01T00:00:00"/>
    <x v="10"/>
    <m/>
    <n v="37"/>
    <n v="37"/>
    <s v="N/A"/>
    <s v="FUNCIONAMIENTO"/>
    <s v="CMA-1974-2020/300-AO-1973-2022_x000a_CMA-1974-2020/300-AO-1973-2022"/>
    <d v="2022-06-28T00:00:00"/>
    <n v="37377608"/>
    <s v="ALMACEN RODAFER RF SAS_x000a_EQUIPOS Y HERRAMIENTAS INDUSTRIALES SAS"/>
    <n v="202205862"/>
    <n v="13177820"/>
    <m/>
    <m/>
    <m/>
    <m/>
    <m/>
    <s v="CALI"/>
    <s v="LOCAL"/>
    <s v="UNIDAD DE SOPORTE OPERATIVO"/>
    <n v="0.26066083349150954"/>
    <n v="1"/>
    <n v="0"/>
    <n v="37"/>
  </r>
  <r>
    <n v="279"/>
    <s v="0322"/>
    <s v="GUENT"/>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s v="FRANCIA RAMÍREZ"/>
    <d v="2022-05-25T00:00:00"/>
    <m/>
    <m/>
    <s v="SI"/>
    <s v="Entregado al area"/>
    <x v="1"/>
    <s v="9 de junio en aceptacion de la oferta._x000a_30 de junio en solicitud de polizas"/>
    <m/>
    <d v="2022-07-27T00:00:00"/>
    <x v="10"/>
    <m/>
    <n v="63"/>
    <n v="63"/>
    <s v="N/A"/>
    <s v="FUNCIONAMIENTO"/>
    <s v="500-CMA-1743-2021/500-AO-1958-2022"/>
    <d v="2022-06-15T00:00:00"/>
    <n v="1074216927"/>
    <s v="CENTELSA SA"/>
    <n v="202205804"/>
    <n v="77795"/>
    <m/>
    <m/>
    <m/>
    <m/>
    <m/>
    <s v="YUMBO"/>
    <s v="MUNICIPAL"/>
    <s v="UNIDAD DE MANTTO RED FISICA"/>
    <n v="7.2414951322827034E-5"/>
    <n v="1"/>
    <n v="0"/>
    <n v="63"/>
  </r>
  <r>
    <n v="280"/>
    <s v="0323"/>
    <s v="GUENAA"/>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s v="LUCY ARBELAEZ"/>
    <d v="2022-05-25T00:00:00"/>
    <d v="2022-05-25T00:00:00"/>
    <m/>
    <s v="SI"/>
    <s v="Entregado al area"/>
    <x v="1"/>
    <s v="9 de junio en aceptacion de la oferta_x000a_30 de junio en aprobacion_x000a_11 DE JULIO ENTREGADO AL AREA"/>
    <m/>
    <d v="2022-07-11T00:00:00"/>
    <x v="10"/>
    <m/>
    <n v="47"/>
    <n v="47"/>
    <s v="N/A"/>
    <s v="FUNCIONAMIENTO"/>
    <s v="300-CMA-1892-2022/ 300-AO-1956-2022"/>
    <d v="2022-06-09T00:00:00"/>
    <n v="99620000"/>
    <s v="CALES DE COLOMBIA SA"/>
    <n v="202205755"/>
    <n v="5270000"/>
    <m/>
    <m/>
    <m/>
    <m/>
    <m/>
    <s v="MEDELLIN"/>
    <s v="NACIONAL"/>
    <s v="UNIDAD DE PRODUCCIÓN DE AGUA POTABLE"/>
    <n v="5.0243111831442464E-2"/>
    <n v="1"/>
    <n v="0"/>
    <n v="47"/>
  </r>
  <r>
    <n v="281"/>
    <s v="0324"/>
    <s v="GUENE"/>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s v="FRANCIA RAMÍREZ"/>
    <d v="2022-05-25T00:00:00"/>
    <m/>
    <m/>
    <s v="SI"/>
    <s v="Entregado al area"/>
    <x v="1"/>
    <s v="9 de junio en aceptacion de la oferta._x000a_30 de junio en solicitud de polizas_x000a_27 DE JULIO ENTREGADO AL AREA"/>
    <m/>
    <d v="2022-07-27T00:00:00"/>
    <x v="10"/>
    <m/>
    <n v="63"/>
    <n v="63"/>
    <s v="N/A"/>
    <s v="INVERSION"/>
    <s v="500-CMA-1743-2021/500-AO-1958-2022"/>
    <d v="2022-06-15T00:00:00"/>
    <n v="2675952405"/>
    <s v="CENTELSA SA"/>
    <n v="202205804"/>
    <n v="91603820"/>
    <m/>
    <m/>
    <m/>
    <m/>
    <m/>
    <s v="YUMBO"/>
    <s v="MUNICIPAL"/>
    <s v="SUBGERENCIA TECNICA GUENE"/>
    <n v="3.3099172176709796E-2"/>
    <n v="1"/>
    <n v="0"/>
    <n v="63"/>
  </r>
  <r>
    <n v="282"/>
    <s v="0325"/>
    <s v="GUENAA"/>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s v="HAROLD MONDRAGON"/>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x v="5"/>
    <s v="nov"/>
    <n v="177"/>
    <n v="176"/>
    <m/>
    <s v="FUNCIONAMIENTO"/>
    <m/>
    <m/>
    <m/>
    <m/>
    <m/>
    <m/>
    <m/>
    <m/>
    <m/>
    <m/>
    <m/>
    <m/>
    <m/>
    <m/>
    <m/>
    <n v="1"/>
    <m/>
    <m/>
  </r>
  <r>
    <n v="283"/>
    <s v="0326"/>
    <s v="GAGHA"/>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s v="LEIDY FRANCO"/>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x v="11"/>
    <m/>
    <n v="99"/>
    <n v="94"/>
    <s v="L"/>
    <s v="FUNCIONAMIENTO"/>
    <s v="800-CS-2216-2022"/>
    <d v="2022-08-26T00:00:00"/>
    <n v="5148800000"/>
    <s v="ACCESORIOS Y SISTEMAS SA EN REORGANIZACION"/>
    <n v="202208281"/>
    <n v="1278869"/>
    <m/>
    <m/>
    <m/>
    <m/>
    <m/>
    <s v="CALI"/>
    <s v="LOCAL"/>
    <s v="UNIDAD GESTIÓN ADMINISTRATIVA"/>
    <n v="2.483202748016013E-4"/>
    <n v="0"/>
    <n v="2"/>
    <n v="99"/>
  </r>
  <r>
    <n v="284"/>
    <s v="0327"/>
    <s v="GUENE"/>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s v="JULIETA ORTIZ"/>
    <d v="2022-05-31T00:00:00"/>
    <e v="#VALUE!"/>
    <e v="#VALUE!"/>
    <s v="NO"/>
    <s v="Devuelto"/>
    <x v="2"/>
    <m/>
    <s v="8 Junio se devuelve al area para sacarlo como ip pero el area va hacer varias modificaciones."/>
    <d v="2022-06-08T00:00:00"/>
    <x v="5"/>
    <s v="jun"/>
    <n v="13"/>
    <n v="8"/>
    <m/>
    <s v="INVERSION"/>
    <m/>
    <m/>
    <m/>
    <m/>
    <m/>
    <m/>
    <m/>
    <m/>
    <m/>
    <m/>
    <m/>
    <m/>
    <m/>
    <m/>
    <m/>
    <n v="1"/>
    <m/>
    <m/>
  </r>
  <r>
    <n v="285"/>
    <s v="0328"/>
    <s v="GAGHA"/>
    <d v="2022-05-27T00:00:00"/>
    <x v="5"/>
    <s v="GHA0071"/>
    <s v="FR-800-GHA-0158-2022"/>
    <s v="300-CMA-1974-2020"/>
    <s v="Suministro de elementos de ferretería, para el suministro de materiales, herramientas y elementosa fines para EMCALI EICE ESP."/>
    <n v="8546201"/>
    <m/>
    <s v="N/A"/>
    <m/>
    <n v="202203880"/>
    <n v="102000566"/>
    <s v="N/A"/>
    <s v="N/A"/>
    <s v="N/A"/>
    <x v="1"/>
    <s v="LUCY ARBELAEZ"/>
    <d v="2022-05-31T00:00:00"/>
    <n v="-44708"/>
    <n v="-44712"/>
    <s v="SI"/>
    <s v="Entregado al area"/>
    <x v="1"/>
    <s v="9 de junio en revision del expediente_x000a_18 de julio en rp"/>
    <m/>
    <d v="2022-07-19T00:00:00"/>
    <x v="10"/>
    <m/>
    <n v="53"/>
    <n v="49"/>
    <s v="N/A"/>
    <s v="FUNCIONAMIENTO"/>
    <s v="300-CMA-1974-2020/300-AO-2020-2022_x000a_300-CMA-1974-2020/300-AO-2021-2022"/>
    <d v="2022-07-15T00:00:00"/>
    <n v="8546201"/>
    <s v="EQUIPOS Y HERRAMIENTAS INDUSTRIALES SAS "/>
    <m/>
    <n v="0"/>
    <m/>
    <m/>
    <m/>
    <m/>
    <m/>
    <m/>
    <m/>
    <s v="UNIDAD DE GESTIÓN ADMINISTRATIVA"/>
    <n v="0"/>
    <n v="0"/>
    <n v="0"/>
    <n v="53"/>
  </r>
  <r>
    <n v="286"/>
    <s v="0329"/>
    <s v="GUENTIC"/>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s v="JULIETA ORTIZ"/>
    <d v="2022-05-31T00:00:00"/>
    <e v="#VALUE!"/>
    <e v="#VALUE!"/>
    <s v="NO"/>
    <s v="Cerrado"/>
    <x v="0"/>
    <m/>
    <s v="15 de junio en solicitud de conceptos_x000a_28 de mayo publicado _x000a_CERRADO POR PROVEEDOR INDAMISIBLE PENDIENTE ACTA DE CIERRE Y SE VA POR IP"/>
    <d v="2022-07-19T00:00:00"/>
    <x v="5"/>
    <s v="jul"/>
    <n v="49"/>
    <n v="49"/>
    <s v="G"/>
    <s v="INVERSION"/>
    <m/>
    <m/>
    <m/>
    <m/>
    <m/>
    <m/>
    <m/>
    <m/>
    <m/>
    <m/>
    <m/>
    <m/>
    <m/>
    <m/>
    <m/>
    <n v="0"/>
    <m/>
    <m/>
  </r>
  <r>
    <n v="287"/>
    <s v="0330"/>
    <s v="GAGHA"/>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s v="FRANCIA RAMÍREZ"/>
    <d v="2022-05-31T00:00:00"/>
    <e v="#VALUE!"/>
    <e v="#VALUE!"/>
    <s v="SI"/>
    <s v="Entregado al area"/>
    <x v="1"/>
    <s v="el area debe hacer la justificacion para hacer el otro si"/>
    <m/>
    <d v="2022-09-20T00:00:00"/>
    <x v="11"/>
    <m/>
    <n v="112"/>
    <n v="112"/>
    <s v="N/A"/>
    <s v="FUNCIONAMIENTO"/>
    <s v="800-CMA-1914-2021/800-AO-2251-2022"/>
    <d v="2022-09-09T00:00:00"/>
    <n v="50000000"/>
    <s v="Unión Temporal M&amp;C2021"/>
    <n v="20228346"/>
    <n v="0"/>
    <m/>
    <m/>
    <m/>
    <m/>
    <m/>
    <s v="CALI"/>
    <s v="LOCAL"/>
    <s v="UNIDAD GESTIÓN ADMINISTRATIVA"/>
    <n v="0"/>
    <n v="0"/>
    <n v="0"/>
    <n v="112"/>
  </r>
  <r>
    <n v="288"/>
    <s v="0331"/>
    <s v="GUENAA"/>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s v="PAOLA BELTRAN"/>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x v="11"/>
    <m/>
    <n v="102"/>
    <n v="100"/>
    <s v="B"/>
    <s v="INVERSION"/>
    <s v="300-AO-2187-2022"/>
    <d v="2022-08-23T00:00:00"/>
    <n v="933414559"/>
    <s v="DIEGO MAURICIO ESTRADA CHAVEZ"/>
    <m/>
    <n v="2585441"/>
    <m/>
    <m/>
    <m/>
    <m/>
    <m/>
    <m/>
    <m/>
    <s v="PRODUCCIÓN DE AGUA POTABLE"/>
    <n v="2.7622232905982905E-3"/>
    <n v="1"/>
    <n v="1"/>
    <n v="54"/>
  </r>
  <r>
    <n v="289"/>
    <s v="0332"/>
    <s v="GUENE"/>
    <d v="2022-06-06T00:00:00"/>
    <x v="6"/>
    <s v="GE0333"/>
    <s v="FR-500-GE-0210-2022"/>
    <s v="N/A"/>
    <s v="Suministro de materiales y elementos de protección eléctrica para ser instalados en redes y subestaciones de energía"/>
    <n v="620390555"/>
    <m/>
    <s v="900-IP-0332-2022"/>
    <m/>
    <n v="202204349"/>
    <m/>
    <s v="N/A"/>
    <s v="N/A"/>
    <s v="Mayor cuantia"/>
    <x v="2"/>
    <s v="PAOLA BELTRAN"/>
    <d v="2022-06-06T00:00:00"/>
    <n v="100"/>
    <n v="100"/>
    <m/>
    <s v="Entregado al area"/>
    <x v="1"/>
    <s v="contrato de emergencia"/>
    <m/>
    <d v="2022-06-07T00:00:00"/>
    <x v="1"/>
    <m/>
    <n v="-44718"/>
    <n v="-44718"/>
    <s v="N/A"/>
    <s v="INVERSION"/>
    <s v="500-AO-1948-2022"/>
    <m/>
    <n v="620389554"/>
    <s v=" SUMINISTROS Y SERVICIOS TECNICOS S.A.S - S&amp;ST S.A.S"/>
    <m/>
    <n v="1001"/>
    <m/>
    <m/>
    <m/>
    <m/>
    <m/>
    <m/>
    <m/>
    <s v="UNIDAD DE MANTENIMIENTO"/>
    <n v="1.6134997413040887E-6"/>
    <n v="1"/>
    <n v="1"/>
    <n v="1"/>
  </r>
  <r>
    <n v="290"/>
    <s v="0333"/>
    <s v="GUENE"/>
    <d v="2022-06-06T00:00:00"/>
    <x v="6"/>
    <s v="GE0332"/>
    <s v="FR-500-GE-0209-2022"/>
    <s v="N/A"/>
    <s v="Suministro de Cables, para redes de Media y Baja Tensión del SDL de EMCALI."/>
    <n v="541251633"/>
    <m/>
    <s v="900-IP-0333-2022"/>
    <m/>
    <n v="202204348"/>
    <m/>
    <s v="N/A"/>
    <s v="N/A"/>
    <s v="Mayor cuantia"/>
    <x v="2"/>
    <s v="PAOLA BELTRAN"/>
    <d v="2022-06-06T00:00:00"/>
    <n v="-44718"/>
    <n v="-44718"/>
    <s v="SI"/>
    <s v="Entregado al area"/>
    <x v="1"/>
    <m/>
    <m/>
    <d v="2022-06-10T00:00:00"/>
    <x v="10"/>
    <m/>
    <n v="4"/>
    <n v="4"/>
    <s v="N/A"/>
    <s v="INVERSION"/>
    <s v="500-AO-1955-2020"/>
    <m/>
    <n v="541251633"/>
    <s v="CENTELSA S.A."/>
    <m/>
    <n v="0"/>
    <m/>
    <m/>
    <m/>
    <m/>
    <m/>
    <m/>
    <m/>
    <s v="UNIDAD DE MANTENIMIENTO"/>
    <n v="0"/>
    <n v="1"/>
    <n v="1"/>
    <n v="4"/>
  </r>
  <r>
    <n v="291"/>
    <s v="0334"/>
    <s v="GUENE"/>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s v="FRANCIA RAMÍREZ"/>
    <d v="2022-06-06T00:00:00"/>
    <n v="-44718"/>
    <n v="-44718"/>
    <s v="SI"/>
    <s v="Entregado al area"/>
    <x v="1"/>
    <s v="30 de junio en solicitud de polizas"/>
    <m/>
    <d v="2022-07-27T00:00:00"/>
    <x v="10"/>
    <m/>
    <n v="51"/>
    <n v="51"/>
    <s v="N/A"/>
    <s v="FUNCIONAMIENTO"/>
    <s v="500-CMA-1743-2021/500-AO-1970-2022"/>
    <d v="2022-06-24T00:00:00"/>
    <n v="847397095"/>
    <s v="CENTELSA SA"/>
    <m/>
    <n v="11191264"/>
    <m/>
    <m/>
    <m/>
    <m/>
    <m/>
    <s v="YUMBO"/>
    <s v="MUNICIPAL"/>
    <s v="UNIDAD DE CONTROL DE ENERGÍA"/>
    <n v="1.3034493052100651E-2"/>
    <n v="1"/>
    <n v="0"/>
    <n v="51"/>
  </r>
  <r>
    <n v="292"/>
    <s v="0335"/>
    <s v="GTI"/>
    <d v="2022-06-08T00:00:00"/>
    <x v="6"/>
    <s v="GTI0184"/>
    <s v="FR-200-GTI-0096-2022"/>
    <s v="N/A"/>
    <s v="Contratar el servicio de soporte actualización y mantenimiento del Software SAP"/>
    <n v="1240383280"/>
    <m/>
    <m/>
    <s v=""/>
    <s v="202203525_x000a_202202915"/>
    <m/>
    <s v="N/A"/>
    <s v="N/A"/>
    <s v="Mayor cuantia"/>
    <x v="3"/>
    <s v="PABLO CAICEDO"/>
    <d v="2022-06-09T00:00:00"/>
    <e v="#VALUE!"/>
    <e v="#VALUE!"/>
    <s v="NO"/>
    <s v="Devuelto"/>
    <x v="2"/>
    <m/>
    <m/>
    <d v="2022-06-21T00:00:00"/>
    <x v="5"/>
    <s v="jun"/>
    <n v="13"/>
    <n v="12"/>
    <m/>
    <s v="FUNCIONAMIENTO"/>
    <m/>
    <m/>
    <m/>
    <m/>
    <m/>
    <m/>
    <m/>
    <m/>
    <m/>
    <m/>
    <m/>
    <m/>
    <m/>
    <m/>
    <m/>
    <n v="0"/>
    <m/>
    <m/>
  </r>
  <r>
    <n v="293"/>
    <s v="0336"/>
    <s v="GUENE"/>
    <d v="2022-06-21T00:00:00"/>
    <x v="6"/>
    <s v="GE0361"/>
    <s v="FR-500-GE-0200-2022"/>
    <s v="N/A"/>
    <s v="Suministro de Equipo Cabrestante Portacarrete Portatil Motorizado"/>
    <n v="269000000"/>
    <m/>
    <s v="900-IP-0336-2022"/>
    <s v="IP-"/>
    <n v="202203909"/>
    <m/>
    <s v="N/A"/>
    <s v="N/A"/>
    <s v="Menor cuantia"/>
    <x v="2"/>
    <s v="JULIETA ORTIZ"/>
    <d v="2022-06-21T00:00:00"/>
    <e v="#VALUE!"/>
    <e v="#VALUE!"/>
    <s v="NO"/>
    <s v="Cerrado"/>
    <x v="0"/>
    <m/>
    <s v="30 de junio en evaluacion_x000a_14 de julio en revision por la jefe sandra_x000a_29 DE JULIO CERRADO Y SE ABRIO NUEVAMENTE CON LA IP 474"/>
    <d v="2022-07-29T00:00:00"/>
    <x v="5"/>
    <s v="jul"/>
    <n v="38"/>
    <n v="38"/>
    <s v="G"/>
    <s v="INVERSION"/>
    <m/>
    <m/>
    <m/>
    <m/>
    <m/>
    <m/>
    <m/>
    <m/>
    <m/>
    <m/>
    <m/>
    <m/>
    <m/>
    <m/>
    <m/>
    <n v="1"/>
    <m/>
    <m/>
  </r>
  <r>
    <n v="294"/>
    <s v="0337"/>
    <s v="GUENE"/>
    <d v="2022-06-09T00:00:00"/>
    <x v="6"/>
    <s v="GE0252"/>
    <s v="FR-500-GE-0207-2022"/>
    <s v="N/A"/>
    <s v="Suministro de ANTENAS YAGI"/>
    <n v="56044002"/>
    <s v="28 DE NOVIEMBRE"/>
    <s v="900-IP-337-2022"/>
    <m/>
    <n v="202204346"/>
    <n v="56044002"/>
    <s v="N/A"/>
    <s v="N/A"/>
    <s v="Menor cuantia"/>
    <x v="2"/>
    <s v="IVAN ALDANA"/>
    <d v="2022-06-09T00:00:00"/>
    <n v="-44721"/>
    <n v="-44721"/>
    <s v="SI"/>
    <s v="Entregado al area"/>
    <x v="1"/>
    <s v="30 de junio en revision de fpa e invitacion_x000a_18 de julio para firma de la aceptacion de la oferta"/>
    <m/>
    <d v="2022-07-30T00:00:00"/>
    <x v="10"/>
    <m/>
    <n v="51"/>
    <n v="51"/>
    <s v="N/A"/>
    <s v="INVERSION"/>
    <s v="500-AO-2036-2022"/>
    <d v="2022-07-19T00:00:00"/>
    <n v="56044002"/>
    <s v="POTENCIA Y TECNOLOGIA  INCORPORADA SA"/>
    <m/>
    <n v="0"/>
    <m/>
    <m/>
    <m/>
    <m/>
    <m/>
    <s v="CALI"/>
    <s v="LOCAL"/>
    <s v="UNIDAD DE CONTROL DE ENERGÍA"/>
    <n v="0"/>
    <n v="1"/>
    <n v="1"/>
    <n v="36"/>
  </r>
  <r>
    <n v="295"/>
    <s v="0338"/>
    <s v="GUENAA"/>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s v="ADALBERTO VALENCIA"/>
    <d v="2022-06-10T00:00:00"/>
    <n v="-44722"/>
    <n v="-44722"/>
    <s v="SI"/>
    <s v="Entregado al area"/>
    <x v="1"/>
    <s v="17 de junio en solciitud de conceptos_x000a_30 DE JUNIO EN REVISION DE LA INVITACION POR DIANA DE LA CRUZ_x000a_19 de julio en aprobacion de polizas"/>
    <m/>
    <d v="2022-07-26T00:00:00"/>
    <x v="10"/>
    <m/>
    <n v="46"/>
    <n v="46"/>
    <s v="G"/>
    <m/>
    <s v="300-AO-1992-2022"/>
    <d v="2022-07-08T00:00:00"/>
    <n v="109994080"/>
    <s v="SOLCO INDUSTRIAL SAS"/>
    <m/>
    <n v="0"/>
    <m/>
    <m/>
    <m/>
    <m/>
    <m/>
    <m/>
    <m/>
    <s v="UNIDAD DE BOMBEO"/>
    <n v="0"/>
    <n v="1"/>
    <n v="1"/>
    <n v="23"/>
  </r>
  <r>
    <n v="296"/>
    <s v="0339"/>
    <s v="GUENTIC"/>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s v="JULIETA ORTIZ"/>
    <d v="2022-06-30T00:00:00"/>
    <e v="#VALUE!"/>
    <e v="#VALUE!"/>
    <s v="NO"/>
    <s v="Devuelto"/>
    <x v="2"/>
    <m/>
    <s v="SE DEVOLVIO AL AREA PORQUE NO ALCANZABA EL PRESUPUESTO POR EL ALZA DEL DÓLAR"/>
    <d v="2022-07-18T00:00:00"/>
    <x v="5"/>
    <s v="jul"/>
    <n v="38"/>
    <n v="18"/>
    <m/>
    <s v="FUNCIONAMIENTO"/>
    <m/>
    <m/>
    <m/>
    <m/>
    <m/>
    <m/>
    <m/>
    <m/>
    <m/>
    <m/>
    <m/>
    <m/>
    <m/>
    <m/>
    <m/>
    <n v="0"/>
    <m/>
    <m/>
  </r>
  <r>
    <n v="297"/>
    <s v="0340"/>
    <s v="GUENT"/>
    <d v="2022-06-10T00:00:00"/>
    <x v="6"/>
    <s v="GT0172"/>
    <s v="FR-400-GT-0163-2022"/>
    <s v="N/A"/>
    <s v="Reparación de Motobombas"/>
    <n v="20650000"/>
    <s v="90 DIAS"/>
    <s v="900-IP-0340-2022"/>
    <m/>
    <n v="202203877"/>
    <n v="20650000"/>
    <s v="N/A"/>
    <s v="N/A"/>
    <s v="Menor cuantia"/>
    <x v="2"/>
    <s v="IVAN ALDANA"/>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x v="1"/>
    <m/>
    <n v="61"/>
    <n v="61"/>
    <s v="G"/>
    <s v="FUNCIONAMIENTO"/>
    <s v="400-AO-2022-2022"/>
    <d v="2022-07-15T00:00:00"/>
    <n v="20650000"/>
    <s v="METALMECANICA SOS SAS"/>
    <n v="202207214"/>
    <n v="0"/>
    <m/>
    <m/>
    <m/>
    <m/>
    <m/>
    <s v="CALI"/>
    <s v="LOCAL"/>
    <s v="SUBGERENCIA OPERATIVA"/>
    <n v="0"/>
    <n v="1"/>
    <n v="1"/>
    <n v="25"/>
  </r>
  <r>
    <n v="298"/>
    <s v="0341"/>
    <s v="GUENT"/>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s v="IVAN ALDANA"/>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x v="1"/>
    <m/>
    <n v="56"/>
    <n v="56"/>
    <s v="G"/>
    <s v="INVERSION"/>
    <s v="400-AO-2046-2022"/>
    <d v="2022-07-25T00:00:00"/>
    <n v="17308550"/>
    <s v="YESID SELIS MENESES"/>
    <n v="202207317"/>
    <n v="34198"/>
    <m/>
    <m/>
    <m/>
    <m/>
    <m/>
    <s v="CALI"/>
    <s v="LOCAL"/>
    <s v="SUBGERENCIA OPERATIVA"/>
    <n v="1.9718904985530552E-3"/>
    <n v="1"/>
    <n v="1"/>
    <n v="31"/>
  </r>
  <r>
    <n v="299"/>
    <s v="0342"/>
    <s v="GF"/>
    <d v="2022-06-10T00:00:00"/>
    <x v="6"/>
    <s v="GF0071"/>
    <s v="FR-700-GF-0062-2022"/>
    <s v="N/A"/>
    <s v="Adquisición de un (1) HORNO MICROONDAS de uso industrial (trabajo pesado) para la Gerencia Financiera."/>
    <n v="3570000"/>
    <m/>
    <s v="900-IPU-0342-2022"/>
    <s v="IPU"/>
    <n v="202204359"/>
    <m/>
    <s v="N/A"/>
    <s v="N/A"/>
    <s v="Menor cuantia"/>
    <x v="0"/>
    <s v="JHON LARRY "/>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x v="5"/>
    <s v="oct"/>
    <n v="118"/>
    <n v="115"/>
    <s v="G"/>
    <s v="INVERSION"/>
    <m/>
    <m/>
    <m/>
    <m/>
    <m/>
    <n v="3570000"/>
    <m/>
    <m/>
    <m/>
    <m/>
    <m/>
    <m/>
    <m/>
    <m/>
    <m/>
    <n v="0"/>
    <m/>
    <m/>
  </r>
  <r>
    <n v="300"/>
    <s v="0343"/>
    <s v="GUENAA"/>
    <d v="2022-06-10T00:00:00"/>
    <x v="6"/>
    <s v="GAA0213"/>
    <s v="FR-300-GAA-0157-2022"/>
    <s v="N/A"/>
    <s v="Reponer válvulas y Actuadores en diferentes sistemas de tratamiento de la PTAP Río Cali"/>
    <n v="1755493200"/>
    <s v="2 meses"/>
    <s v="900-IPU-0343-2022"/>
    <m/>
    <n v="202201760"/>
    <n v="1755493200"/>
    <s v="N/A"/>
    <s v="N/A"/>
    <s v="Mayor cuantia"/>
    <x v="0"/>
    <s v="HAROLD MONDRAGON"/>
    <d v="2022-06-13T00:00:00"/>
    <n v="96"/>
    <n v="93"/>
    <s v="SI"/>
    <s v="Entregado al area"/>
    <x v="1"/>
    <s v="30 DE JUNIO PUBLICADO_x000a_19 DE JULIO SE RECIBEN OFERTAS_x000a_1 DE AGOSTO EN EVALUACION SOBRE 1. 5 DE AGOSTO EN PUBLICACION DEL INFORME DE EVALUACION"/>
    <m/>
    <d v="2022-08-23T00:00:00"/>
    <x v="1"/>
    <m/>
    <n v="74"/>
    <n v="71"/>
    <s v="N/A"/>
    <s v="INVERSION"/>
    <s v="300-AO-2160-2022"/>
    <d v="2022-08-12T00:00:00"/>
    <n v="1732109718"/>
    <s v="UNION TEMPORAL VALAC 2022"/>
    <n v="202207854"/>
    <n v="23383482"/>
    <m/>
    <m/>
    <m/>
    <m/>
    <m/>
    <s v="CALI"/>
    <s v="LOCAL"/>
    <s v="UNIDAD DE PRODUCCIÓN"/>
    <n v="1.3320178055944621E-2"/>
    <n v="1"/>
    <n v="2"/>
    <n v="74"/>
  </r>
  <r>
    <n v="301"/>
    <s v="0344"/>
    <s v="GUENAA"/>
    <d v="2022-06-13T00:00:00"/>
    <x v="6"/>
    <s v="GAA0781 "/>
    <s v="FR-300-GAA-0076-2022"/>
    <s v="N/A"/>
    <s v="Suministro de equipos y Elementos para la medición de variables para el proceso de tratamiento de la PTAR-C"/>
    <n v="207605670"/>
    <m/>
    <s v="900-IP-0344-2022"/>
    <s v="IP-"/>
    <n v="202202669"/>
    <m/>
    <s v="N/A"/>
    <s v="N/A"/>
    <s v="Menor cuantia"/>
    <x v="2"/>
    <s v="JULIO GARCIA"/>
    <d v="2022-06-13T00:00:00"/>
    <e v="#VALUE!"/>
    <e v="#VALUE!"/>
    <s v="NO"/>
    <s v="Cerrado"/>
    <x v="0"/>
    <m/>
    <s v="17 de junio en solicitud de conceptos_x000a_30 de junio esperando concepto SST del área usuaria_x000a_29 de julio cerrado porque el oferente no cumple"/>
    <d v="2022-07-29T00:00:00"/>
    <x v="5"/>
    <s v="jul"/>
    <n v="46"/>
    <n v="46"/>
    <m/>
    <s v="FUNCIONAMIENTO"/>
    <m/>
    <m/>
    <m/>
    <m/>
    <m/>
    <m/>
    <m/>
    <m/>
    <m/>
    <m/>
    <m/>
    <m/>
    <m/>
    <m/>
    <m/>
    <n v="1"/>
    <m/>
    <m/>
  </r>
  <r>
    <n v="302"/>
    <s v="0345"/>
    <s v="GUENAA"/>
    <d v="2022-06-13T00:00:00"/>
    <x v="6"/>
    <s v="GAA0715"/>
    <s v="FR-300-GAA-0162-2022"/>
    <s v="N/A"/>
    <s v="Mantenimiento de las Casetas de Protección"/>
    <n v="5580200"/>
    <s v="90 DIAS"/>
    <s v="900-IP-0890-2022"/>
    <m/>
    <n v="202200777"/>
    <m/>
    <s v="N/A"/>
    <s v="N/A"/>
    <s v="Menor cuantia"/>
    <x v="2"/>
    <s v="ANA MARIA GIL"/>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x v="1"/>
    <m/>
    <n v="73"/>
    <n v="73"/>
    <s v="G"/>
    <s v="INVERSION"/>
    <s v="300-AO-2074-2022"/>
    <d v="2022-08-01T00:00:00"/>
    <n v="4046000"/>
    <s v="METALMECANICA SAS"/>
    <n v="202207700"/>
    <n v="1534200"/>
    <m/>
    <m/>
    <m/>
    <m/>
    <m/>
    <s v="CALI"/>
    <s v="LOCAL"/>
    <s v="UENAA U. DISTRIBUCIÓN"/>
    <n v="0.27493638220852301"/>
    <n v="1"/>
    <n v="1"/>
    <n v="47"/>
  </r>
  <r>
    <n v="303"/>
    <s v="0346"/>
    <s v="GUENAA"/>
    <d v="2022-06-14T00:00:00"/>
    <x v="6"/>
    <s v="GAA0669"/>
    <s v="FR-300-GAA-0136-2022"/>
    <s v="N/A"/>
    <s v="Suministro e Instalación equipos de Instrumentación y Automatización"/>
    <n v="97403342"/>
    <m/>
    <s v="900-IP-0346-2022"/>
    <s v="IP-"/>
    <n v="202203123"/>
    <m/>
    <s v="N/A"/>
    <s v="N/A"/>
    <s v="Menor cuantia"/>
    <x v="2"/>
    <s v="ANA MARIA GIL"/>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x v="5"/>
    <s v="ago"/>
    <n v="51"/>
    <n v="51"/>
    <m/>
    <s v="INVERSION"/>
    <m/>
    <m/>
    <m/>
    <m/>
    <m/>
    <m/>
    <m/>
    <m/>
    <m/>
    <m/>
    <m/>
    <m/>
    <m/>
    <m/>
    <m/>
    <n v="1"/>
    <m/>
    <m/>
  </r>
  <r>
    <n v="304"/>
    <s v="0347"/>
    <s v="GUENE"/>
    <d v="2022-06-14T00:00:00"/>
    <x v="6"/>
    <s v="GE0189"/>
    <s v="FR-500-GE-0193-2022"/>
    <s v="N/A"/>
    <s v="Calibración de equipos de Medición"/>
    <n v="21000000"/>
    <s v="60 DIAS"/>
    <s v="900-IP-0347-2022"/>
    <m/>
    <n v="202203515"/>
    <m/>
    <s v="N/A"/>
    <s v="N/A"/>
    <s v="Menor cuantia"/>
    <x v="2"/>
    <s v="ANA MARIA GIL"/>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x v="1"/>
    <m/>
    <n v="77"/>
    <n v="77"/>
    <s v="G"/>
    <s v="FUNCIONAMIENTO"/>
    <s v="500-AO-2093-2022"/>
    <d v="2022-08-09T00:00:00"/>
    <n v="20075000"/>
    <s v="LABORATORIO ELECTROMECANICO QTEST SAS"/>
    <m/>
    <n v="925000"/>
    <m/>
    <m/>
    <m/>
    <m/>
    <m/>
    <s v="ENVIGADO"/>
    <s v="NACIONAL"/>
    <s v="UNIDAD DE MANTENIMIENTO"/>
    <n v="4.4047619047619051E-2"/>
    <n v="1"/>
    <n v="1"/>
    <n v="38"/>
  </r>
  <r>
    <n v="305"/>
    <s v="034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m/>
    <s v="Entregado al area"/>
    <x v="1"/>
    <s v="18 d ejulio esperando concepto de seguros_x000a_2 DE AGOSTO EN ELABORACION DE FPA"/>
    <m/>
    <d v="2022-09-01T00:00:00"/>
    <x v="11"/>
    <m/>
    <n v="50"/>
    <n v="50"/>
    <s v="G"/>
    <s v="OPERACIÓN"/>
    <s v="300-AO-2221-2022"/>
    <d v="2022-08-30T00:00:00"/>
    <n v="26256243"/>
    <s v="PROFINAS SOCIEDAD POR ACCIONES SIMPLIFICADA"/>
    <n v="202208018"/>
    <n v="210"/>
    <m/>
    <m/>
    <m/>
    <m/>
    <m/>
    <s v="YUMBO"/>
    <s v="MUNICIPAL"/>
    <s v="UNIDAD DE PRODUCCIÓN DE AGUA POTABLE"/>
    <n v="7.9980338547632467E-6"/>
    <n v="1"/>
    <n v="1"/>
    <n v="30"/>
  </r>
  <r>
    <n v="306"/>
    <s v="0349"/>
    <s v="GUENAA"/>
    <d v="2022-06-21T00:00:00"/>
    <x v="6"/>
    <s v="GAA0639_x000a_GAA0663"/>
    <s v="FR-300-GAA-0102-2022"/>
    <s v="N/A"/>
    <s v="Suministro de equipos CHEMTRAC para plantas de tratamiento de Agua Potable"/>
    <n v="134184400"/>
    <s v="140 dias"/>
    <s v="900-IP-0349-2022"/>
    <m/>
    <n v="202202921"/>
    <n v="134184400"/>
    <s v="N/A"/>
    <s v="N/A"/>
    <s v="Menor cuantia"/>
    <x v="2"/>
    <s v="PAOLA BELTRAN"/>
    <d v="2022-06-21T00:00:00"/>
    <n v="-44733"/>
    <n v="-44733"/>
    <s v="SI"/>
    <s v="Entregado al area"/>
    <x v="1"/>
    <s v="14 de julio en aprobacuon de polizas_x000a_15 de julio entregado al area"/>
    <m/>
    <d v="2022-07-15T00:00:00"/>
    <x v="10"/>
    <m/>
    <n v="24"/>
    <n v="24"/>
    <s v="G"/>
    <s v="INVERSION"/>
    <s v="300-AO-1978-2022"/>
    <d v="2022-07-07T00:00:00"/>
    <n v="134184400"/>
    <s v="B&amp;C BIOSCIENCES SAS"/>
    <n v="202207014"/>
    <n v="0"/>
    <m/>
    <m/>
    <m/>
    <m/>
    <m/>
    <s v="BOGOTA"/>
    <s v="NACIONAL"/>
    <s v="UNIDAD DE MANTENIMIENTO"/>
    <n v="0"/>
    <n v="1"/>
    <n v="1"/>
    <n v="18"/>
  </r>
  <r>
    <n v="307"/>
    <s v="0350"/>
    <s v="GG"/>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s v="PAOLA BELTRAN"/>
    <d v="2022-06-21T00:00:00"/>
    <e v="#VALUE!"/>
    <e v="#VALUE!"/>
    <s v="SI"/>
    <s v="Entregado al area"/>
    <x v="1"/>
    <s v="14  de julio pendiente revision de la fpa por la jefe sandra_x000a_14 de julio en revision juridica_x000a_1 agosto continua en juridica 4 DE AGOSTO EN INVITACION A OFERTAR"/>
    <m/>
    <d v="2022-09-15T00:00:00"/>
    <x v="11"/>
    <m/>
    <n v="86"/>
    <n v="86"/>
    <s v="A"/>
    <s v="FUNCIONAMIENTO"/>
    <s v="100-AO-2222-2022"/>
    <d v="2022-08-31T00:00:00"/>
    <n v="139144320"/>
    <s v="DELOITTE ASESORES Y CONSULTORES LTDA"/>
    <n v="202208286"/>
    <n v="26155680"/>
    <m/>
    <m/>
    <m/>
    <m/>
    <m/>
    <s v="BOGOTA"/>
    <s v="NACIONAL"/>
    <s v="DIRECCIÓN DE CONTROL INTERNO"/>
    <n v="0.15823157894736842"/>
    <n v="0"/>
    <n v="1"/>
    <n v="34"/>
  </r>
  <r>
    <n v="308"/>
    <s v="0351"/>
    <s v="GUENAA"/>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s v="ANA MARIA GIL"/>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x v="5"/>
    <s v="jun"/>
    <n v="14"/>
    <n v="13"/>
    <m/>
    <s v="FUNCIONAMIENTO"/>
    <m/>
    <m/>
    <m/>
    <m/>
    <m/>
    <m/>
    <m/>
    <m/>
    <m/>
    <m/>
    <m/>
    <m/>
    <m/>
    <m/>
    <m/>
    <n v="1"/>
    <m/>
    <m/>
  </r>
  <r>
    <n v="309"/>
    <s v="0352"/>
    <s v="GUENT"/>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s v="IVAN ALDANA"/>
    <d v="2022-06-15T00:00:00"/>
    <n v="-44727"/>
    <n v="-44727"/>
    <s v="SI"/>
    <s v="Entregado al area"/>
    <x v="1"/>
    <s v="17 de junio en solicitud de conceptos_x000a_30 de junio en revision de la fpa e invitacion_x000a_18 de julio para firma de la aceptacion de la oferta"/>
    <m/>
    <d v="2022-07-29T00:00:00"/>
    <x v="10"/>
    <m/>
    <n v="44"/>
    <n v="44"/>
    <s v="G"/>
    <s v="FUNCIONAMIENTO"/>
    <s v="400-AO-2037-2022"/>
    <d v="2022-07-21T00:00:00"/>
    <n v="37984800"/>
    <s v="EPRING SAS"/>
    <n v="202207215"/>
    <n v="1999200"/>
    <m/>
    <m/>
    <m/>
    <m/>
    <m/>
    <s v="CALI"/>
    <s v="LOCAL"/>
    <s v="SUBGERENCIA OPERATIVA"/>
    <n v="0.05"/>
    <n v="1"/>
    <n v="1"/>
    <n v="23"/>
  </r>
  <r>
    <n v="310"/>
    <s v="0353"/>
    <s v="GUENAA"/>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s v="ANA MARIA GIL"/>
    <d v="2022-06-16T00:00:00"/>
    <e v="#VALUE!"/>
    <e v="#VALUE!"/>
    <s v="SI"/>
    <s v="Entregado al area"/>
    <x v="1"/>
    <s v="2 DE AGOSTO PENDIENTE DE LA FIRMA DE LAINVITACION A OFERTAR"/>
    <m/>
    <d v="2022-09-08T00:00:00"/>
    <x v="11"/>
    <m/>
    <n v="85"/>
    <n v="84"/>
    <s v="G"/>
    <s v="INVERSION"/>
    <s v="300-AO-2101-2022"/>
    <d v="2022-08-11T00:00:00"/>
    <n v="152049857"/>
    <s v="DATUM INGENIERIA SAS"/>
    <n v="202207800"/>
    <n v="143"/>
    <m/>
    <m/>
    <m/>
    <m/>
    <m/>
    <s v="BOGOTA"/>
    <s v="NACIONAL"/>
    <s v="UNIDAD DE INGENIERIA"/>
    <n v="9.4048010522854323E-7"/>
    <n v="1"/>
    <n v="1"/>
    <n v="29"/>
  </r>
  <r>
    <n v="311"/>
    <s v="0354"/>
    <s v="GUENAA"/>
    <d v="2022-06-17T00:00:00"/>
    <x v="6"/>
    <s v="GAA0243"/>
    <s v="FR-300-GAA-0163-2022"/>
    <s v="N/A"/>
    <s v="Suministro, instalación y puesta en marcha de cuatro (4) espectrofotómetro en las PATP´s de EMCALI"/>
    <n v="180000000"/>
    <s v="60 DIAS"/>
    <s v="900-IP-0354-2022"/>
    <m/>
    <n v="202202969"/>
    <n v="180000000"/>
    <s v="N/A"/>
    <s v="N/A"/>
    <s v="N/A"/>
    <x v="2"/>
    <s v="JHON LARRY "/>
    <d v="2022-06-17T00:00:00"/>
    <n v="89"/>
    <n v="89"/>
    <s v="SI"/>
    <s v="Entregado al area"/>
    <x v="1"/>
    <s v="2 DE AGOSTO EN APROBACION DE POLIZAS"/>
    <m/>
    <d v="2022-08-08T00:00:00"/>
    <x v="1"/>
    <m/>
    <n v="52"/>
    <n v="52"/>
    <s v="G"/>
    <s v="INVERSION"/>
    <s v="300-AO-2026-2022"/>
    <d v="2022-07-15T00:00:00"/>
    <n v="180000000"/>
    <s v="B&amp;C  BIOSCIENSES SAS"/>
    <n v="202207153"/>
    <n v="0"/>
    <m/>
    <m/>
    <m/>
    <m/>
    <m/>
    <s v="BOGOTA"/>
    <s v="NACIONAL"/>
    <s v="UNIDAD DE PRODUCCIÓN DE AGUA POTABLE"/>
    <n v="0"/>
    <n v="1"/>
    <n v="1"/>
    <n v="28"/>
  </r>
  <r>
    <n v="312"/>
    <s v="0355"/>
    <s v="GUENAA"/>
    <d v="2022-06-17T00:00:00"/>
    <x v="6"/>
    <s v="GAA0687"/>
    <s v="FR-300-GAA-0164-2022"/>
    <s v="N/A"/>
    <s v="Realizar el mantenimiento a los equipos Isotérmicos y de apoyo del Laboratorio Aguas Residuales"/>
    <n v="34998614"/>
    <s v="90 DIAS"/>
    <s v="900-IP-0355-2022"/>
    <m/>
    <n v="202202243"/>
    <m/>
    <s v="N/A"/>
    <s v="N/A"/>
    <s v="N/A"/>
    <x v="2"/>
    <s v="IVAN ALDANA"/>
    <d v="2022-06-21T00:00:00"/>
    <n v="-44729"/>
    <n v="-44733"/>
    <s v="SI"/>
    <s v="Entregado al area"/>
    <x v="1"/>
    <s v="18 de julio a la espera de la oferta_x000a_2 DE AGOSTO EN SOLICTUD DE POLIZAS Y RP. 5 DE AGOSTO A LA ESPERA DE LAS POLIZAS POR PARTE DEL PROVEEDOR.."/>
    <m/>
    <d v="2022-08-16T00:00:00"/>
    <x v="1"/>
    <m/>
    <n v="60"/>
    <n v="56"/>
    <s v="G"/>
    <s v="FUNCIONAMIENTO"/>
    <s v="300-AO-2047-2022"/>
    <d v="2022-07-25T00:00:00"/>
    <n v="34998614"/>
    <s v="HOB TECHNOLOGY SAS"/>
    <n v="202207267"/>
    <n v="0"/>
    <m/>
    <m/>
    <m/>
    <m/>
    <m/>
    <s v="CALIL"/>
    <s v="LOCAL"/>
    <s v="LABORATORIO DE AGUAS RESIDUALES"/>
    <n v="0"/>
    <n v="1"/>
    <n v="1"/>
    <n v="42"/>
  </r>
  <r>
    <n v="313"/>
    <s v="0356"/>
    <s v="GUENAA"/>
    <d v="2022-06-17T00:00:00"/>
    <x v="6"/>
    <s v="GAA0685"/>
    <s v="FR-300-GAA-0165-2022"/>
    <s v="N/A"/>
    <s v="Realizar el mantenimiento a los equipos marca ELGA del Laboratorio de Aguas Residuales"/>
    <n v="12389330"/>
    <s v="90 dias"/>
    <s v="900-IP-0356-2022"/>
    <m/>
    <n v="202202241"/>
    <n v="12389330"/>
    <s v="N/A"/>
    <s v="N/A"/>
    <s v="N/A"/>
    <x v="2"/>
    <s v="IVAN ALDANA"/>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x v="1"/>
    <m/>
    <n v="73"/>
    <n v="69"/>
    <s v="C"/>
    <s v="FUNCIONAMIENTO"/>
    <s v="300-AO-2119-2022"/>
    <d v="2022-08-11T00:00:00"/>
    <n v="12389330"/>
    <s v="QUIMICONTROL SAS"/>
    <n v="202207813"/>
    <n v="0"/>
    <m/>
    <m/>
    <m/>
    <m/>
    <m/>
    <s v="BOGOTA"/>
    <s v="NACIONAL"/>
    <s v="LABORATORIO DE AGUAS RESIDUALES"/>
    <n v="0"/>
    <n v="1"/>
    <n v="1"/>
    <n v="34"/>
  </r>
  <r>
    <n v="314"/>
    <s v="0357"/>
    <s v="GUENAA"/>
    <d v="2022-06-17T00:00:00"/>
    <x v="6"/>
    <s v="GAA0684"/>
    <s v="FR-300-GAA-0166-2022"/>
    <s v="N/A"/>
    <s v="Realizar el mantenimiento a los equipos marca Shimadzu del Laboratorio de Aguas Residuales"/>
    <n v="15777015"/>
    <s v="90 dias"/>
    <s v="900-IP-0357-2022"/>
    <m/>
    <n v="202202240"/>
    <m/>
    <s v="N/A"/>
    <s v="N/A"/>
    <s v="N/A"/>
    <x v="2"/>
    <s v="JHON LARRY "/>
    <d v="2022-06-17T00:00:00"/>
    <e v="#VALUE!"/>
    <e v="#VALUE!"/>
    <s v="SI"/>
    <s v="Entregado al area"/>
    <x v="1"/>
    <s v="2 de agosto en cotizaciones, se estuvo a la espera del cdp por parte del area. 5 DE AGOSTO EN REVISION DE FPA E INVITACION."/>
    <m/>
    <d v="2022-09-13T00:00:00"/>
    <x v="11"/>
    <m/>
    <n v="88"/>
    <n v="88"/>
    <s v="G"/>
    <s v="FUNCIONAMIENTO"/>
    <s v="300-AO-228-2022"/>
    <d v="2022-08-31T00:00:00"/>
    <n v="15777015"/>
    <s v="LAB INSTRUMENTS SAS"/>
    <n v="202208249"/>
    <n v="0"/>
    <m/>
    <m/>
    <m/>
    <m/>
    <m/>
    <s v="BOGOTA"/>
    <s v="NACIONAL"/>
    <s v="LABORATORIO DE AGUAS RESIDUALES"/>
    <n v="0"/>
    <n v="1"/>
    <n v="1"/>
    <n v="46"/>
  </r>
  <r>
    <n v="315"/>
    <s v="0358"/>
    <s v="GUENAA"/>
    <d v="2022-06-17T00:00:00"/>
    <x v="6"/>
    <s v="GAA0683"/>
    <s v="FR-300-GAA-0167-2022"/>
    <s v="N/A"/>
    <s v="Realizar el mantenimiento a los equipos marca Analitikjena del Laboratorio Aguas Residuales"/>
    <n v="5972207"/>
    <m/>
    <s v="900-IP-0358-2022"/>
    <m/>
    <n v="202202239"/>
    <m/>
    <m/>
    <m/>
    <s v="N/A"/>
    <x v="2"/>
    <s v="JULIO GARCIA"/>
    <m/>
    <n v="89"/>
    <n v="44818"/>
    <s v="SI"/>
    <s v="Entregado al area"/>
    <x v="1"/>
    <s v="2 de agosto en polizas"/>
    <m/>
    <d v="2022-08-16T00:00:00"/>
    <x v="1"/>
    <m/>
    <n v="60"/>
    <n v="44789"/>
    <s v="G"/>
    <s v="FUNCIONAMIENTO"/>
    <s v="300-AO-2050-2022"/>
    <d v="2022-07-26T00:00:00"/>
    <n v="5972207"/>
    <s v="ANALITICA Y REDES SAS"/>
    <n v="202207237"/>
    <n v="0"/>
    <m/>
    <m/>
    <m/>
    <m/>
    <m/>
    <s v="BOGOTA"/>
    <s v="NACIONAL"/>
    <s v="LABORATORIO DE AGUAS RESIDUALES"/>
    <n v="0"/>
    <n v="1"/>
    <n v="1"/>
    <n v="42"/>
  </r>
  <r>
    <n v="316"/>
    <s v="0359"/>
    <s v="GUENAA"/>
    <d v="2022-06-17T00:00:00"/>
    <x v="6"/>
    <s v="GAA0716"/>
    <s v="FR-300-GAA-0169-2022"/>
    <s v="N/A"/>
    <s v="Obras de Emergencia Bocatoma Río Cali"/>
    <n v="354975991"/>
    <s v="30 dias"/>
    <s v="900-IP-0359-2022"/>
    <m/>
    <n v="202204434"/>
    <n v="354975991"/>
    <s v="N/A"/>
    <s v="N/A"/>
    <s v="N/A"/>
    <x v="2"/>
    <s v="PAOLA BELTRAN"/>
    <d v="2022-06-21T00:00:00"/>
    <n v="-44729"/>
    <n v="-44733"/>
    <s v="SI"/>
    <s v="Entregado al area"/>
    <x v="1"/>
    <m/>
    <m/>
    <d v="2022-07-18T00:00:00"/>
    <x v="10"/>
    <m/>
    <m/>
    <m/>
    <s v="G"/>
    <s v="FUNCIONAMIENTO"/>
    <s v="300-AO-1968-2022"/>
    <d v="2022-06-24T00:00:00"/>
    <n v="354975991"/>
    <s v="PROQUING SAS"/>
    <m/>
    <n v="0"/>
    <m/>
    <m/>
    <m/>
    <m/>
    <m/>
    <s v="CALI"/>
    <s v="LOCAL"/>
    <s v="UNIDAD DE PRODUCCIÓN DE AGUA POTABLE"/>
    <n v="0"/>
    <n v="1"/>
    <n v="1"/>
    <n v="21"/>
  </r>
  <r>
    <n v="317"/>
    <s v="0360"/>
    <s v="GUENAA"/>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s v="PAOLA BELTRAN"/>
    <d v="2022-06-21T00:00:00"/>
    <n v="89"/>
    <n v="85"/>
    <s v="SI"/>
    <s v="Entregado al area"/>
    <x v="1"/>
    <m/>
    <m/>
    <d v="2022-07-05T00:00:00"/>
    <x v="1"/>
    <m/>
    <n v="-44729"/>
    <n v="-44733"/>
    <s v="G"/>
    <s v="FUNCIONAMIENTO"/>
    <s v="CONTRATO DE MERGENCIA"/>
    <m/>
    <n v="448908750"/>
    <s v="SP5 SA"/>
    <n v="202205849"/>
    <n v="979690"/>
    <m/>
    <m/>
    <m/>
    <m/>
    <m/>
    <s v="CALI"/>
    <s v="LOCAL"/>
    <s v="UNIDAD DE INGENIERÍA"/>
    <n v="2.1776287472512076E-3"/>
    <n v="1"/>
    <n v="1"/>
    <n v="12"/>
  </r>
  <r>
    <n v="318"/>
    <s v="0361"/>
    <s v="GUENAA"/>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s v="LUCY ARBELAEZ"/>
    <d v="2022-06-21T00:00:00"/>
    <n v="-44733"/>
    <n v="-44733"/>
    <s v="SI"/>
    <s v="Entregado al area"/>
    <x v="1"/>
    <m/>
    <m/>
    <d v="2022-07-17T00:00:00"/>
    <x v="10"/>
    <m/>
    <n v="26"/>
    <n v="26"/>
    <s v="N/A"/>
    <s v="FUNCIONAMIENTO"/>
    <s v="300-CMA-1243-2020/300-AO-1979-2022"/>
    <d v="2022-07-07T00:00:00"/>
    <n v="1694603796"/>
    <s v="QUIMPAC DE COLOMBIA SA"/>
    <n v="202207013"/>
    <n v="1376659"/>
    <m/>
    <m/>
    <m/>
    <m/>
    <m/>
    <s v="YUMBO"/>
    <s v="MUNICIPAL"/>
    <s v="UNIDAD DE TRATAMIENTO"/>
    <n v="8.1171867042536172E-4"/>
    <n v="1"/>
    <n v="0"/>
    <n v="26"/>
  </r>
  <r>
    <n v="319"/>
    <s v="0362"/>
    <s v="GUENT"/>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s v="NINFA SANTANA"/>
    <d v="2022-08-08T00:00:00"/>
    <e v="#VALUE!"/>
    <e v="#VALUE!"/>
    <s v="SI"/>
    <s v="Entregado al area"/>
    <x v="1"/>
    <m/>
    <m/>
    <d v="2022-09-06T00:00:00"/>
    <x v="11"/>
    <m/>
    <n v="77"/>
    <n v="29"/>
    <s v="G"/>
    <s v="FUNCIONAMIENTO"/>
    <s v="400-AO-2024-2022"/>
    <d v="2022-08-31T00:00:00"/>
    <n v="8992830"/>
    <s v="HIDROPURA SAS"/>
    <n v="202208244"/>
    <n v="0"/>
    <m/>
    <m/>
    <m/>
    <m/>
    <m/>
    <s v="CALI"/>
    <s v="LOCAL"/>
    <s v="SUBGERENCIA OPERATIVA"/>
    <n v="0"/>
    <n v="1"/>
    <n v="1"/>
    <n v="55"/>
  </r>
  <r>
    <n v="320"/>
    <s v="0363"/>
    <s v="GAGHA"/>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s v="PAOLA BELTRAN"/>
    <d v="2022-06-24T00:00:00"/>
    <n v="-44733"/>
    <n v="-44736"/>
    <s v="SI"/>
    <s v="Entregado al area"/>
    <x v="1"/>
    <s v="18 de julio en revision de fpa "/>
    <m/>
    <d v="2022-07-29T00:00:00"/>
    <x v="10"/>
    <m/>
    <n v="38"/>
    <n v="35"/>
    <s v="G"/>
    <s v="FUNCIONAMIENTO"/>
    <s v="800-AO-2053-2022"/>
    <d v="2022-07-26T00:00:00"/>
    <n v="399185752"/>
    <s v="HECTOR ANGULO SINISTERRA"/>
    <n v="202207181"/>
    <n v="41132526"/>
    <m/>
    <m/>
    <m/>
    <m/>
    <m/>
    <s v="CALI"/>
    <s v="LOCAL"/>
    <s v="UNIDAD GESTIÓN ADMINISTRATIVA"/>
    <n v="9.3415440728081695E-2"/>
    <n v="0"/>
    <n v="1"/>
    <n v="28"/>
  </r>
  <r>
    <n v="321"/>
    <s v="0364"/>
    <s v="GUENAA"/>
    <d v="2022-06-21T00:00:00"/>
    <x v="6"/>
    <s v="GAA0667"/>
    <s v="FR-300-GAA-0148-2022"/>
    <s v="N/A"/>
    <s v="Suministro valvulas bocatoma Río Cauca"/>
    <n v="137054145"/>
    <s v="90 DIAS"/>
    <s v="900-IP-0364-2022"/>
    <m/>
    <n v="202203121"/>
    <m/>
    <s v="N/A"/>
    <s v="N/A"/>
    <s v="N/A"/>
    <x v="2"/>
    <s v="LINA ECHAVARRIA"/>
    <d v="2022-06-21T00:00:00"/>
    <n v="-44733"/>
    <n v="-44733"/>
    <s v="SI"/>
    <s v="Entregado al area"/>
    <x v="1"/>
    <s v="30 de junio en invitacion a ofertar_x000a_14 de julio en evaluacion"/>
    <m/>
    <d v="2022-07-27T00:00:00"/>
    <x v="10"/>
    <m/>
    <n v="36"/>
    <n v="36"/>
    <s v="G"/>
    <s v="INVERSION"/>
    <s v="300-AO-1988-2022"/>
    <d v="2022-07-08T00:00:00"/>
    <n v="136934075"/>
    <s v="B&amp;V INGENIERIA SAS"/>
    <n v="202206982"/>
    <n v="120070"/>
    <m/>
    <m/>
    <m/>
    <m/>
    <m/>
    <s v="Envigado Antioquia"/>
    <s v="NACIONAL"/>
    <s v="UNIDAD DE MANTENIMIENTO"/>
    <n v="8.7607711536196147E-4"/>
    <n v="1"/>
    <n v="1"/>
    <n v="26"/>
  </r>
  <r>
    <n v="322"/>
    <s v="0365"/>
    <s v="GTI"/>
    <d v="2022-06-22T00:00:00"/>
    <x v="6"/>
    <s v="GTI0186"/>
    <s v="FR-200-GTI-0103-2022"/>
    <s v="N/A"/>
    <s v="Prestar los servicios de Cloud Funtional Services, Features y Parameters para la solución SAP Ariba Sourcing Suite de EMCALI EICE ESP"/>
    <n v="90170000"/>
    <m/>
    <s v="900-IP-0365-2022"/>
    <m/>
    <n v="202203526"/>
    <m/>
    <s v="N/A"/>
    <s v="N/A"/>
    <s v="N/A"/>
    <x v="2"/>
    <s v="PAOLA BELTRAN"/>
    <d v="2022-06-22T00:00:00"/>
    <n v="139"/>
    <n v="139"/>
    <s v="SI"/>
    <s v="Entregado al area"/>
    <x v="1"/>
    <s v="14 de julio en cotizaciones. 8 DE AGOSTO SE RECIBE LA OFERTA_x000a_28 DE SEPTIEMBRE EN EVALUACION DE LA OFERTA"/>
    <m/>
    <d v="2022-10-13T00:00:00"/>
    <x v="12"/>
    <n v="113"/>
    <m/>
    <n v="113"/>
    <s v="C"/>
    <s v="FUNCIONAMIENTO"/>
    <s v="200-AO-2335-2022"/>
    <d v="2022-09-23T00:00:00"/>
    <n v="65106462"/>
    <s v="SAP COLOMBIA SAS"/>
    <n v="202208624"/>
    <n v="25063538"/>
    <s v="BOGOTA"/>
    <s v="NACIONAL"/>
    <m/>
    <m/>
    <m/>
    <m/>
    <m/>
    <m/>
    <n v="0.27795872241321945"/>
    <n v="0"/>
    <n v="1"/>
    <n v="45"/>
  </r>
  <r>
    <n v="323"/>
    <s v="0366"/>
    <s v="GUENAA"/>
    <d v="2022-06-22T00:00:00"/>
    <x v="6"/>
    <s v="GAA0666"/>
    <s v="FR-300-GAA-0175-2022"/>
    <s v="N/A"/>
    <s v="Suministro repuestos reles de protección GE Multilin modelo 869"/>
    <n v="64920450"/>
    <s v="90 DIAS"/>
    <s v="900-IP-0366-2022"/>
    <m/>
    <n v="202203120"/>
    <m/>
    <s v="N/A"/>
    <s v="N/A"/>
    <s v="N/A"/>
    <x v="2"/>
    <s v="JULIO GARCIA"/>
    <d v="2022-06-22T00:00:00"/>
    <n v="84"/>
    <n v="84"/>
    <s v="SI"/>
    <s v="Entregado al area"/>
    <x v="1"/>
    <s v="2 de agosto en polizas"/>
    <m/>
    <d v="2022-08-11T00:00:00"/>
    <x v="1"/>
    <m/>
    <n v="50"/>
    <n v="50"/>
    <s v="G"/>
    <s v="INVERSION"/>
    <s v="300-AO-2066-2022"/>
    <d v="2022-07-28T00:00:00"/>
    <n v="64920450"/>
    <s v="SOPORTE A LA INGENIERA SAS"/>
    <n v="202207314"/>
    <n v="0"/>
    <m/>
    <m/>
    <m/>
    <m/>
    <m/>
    <s v="CALI"/>
    <s v="LOCAL"/>
    <s v="UNIDAD MANTENIMIENTO"/>
    <n v="0"/>
    <n v="1"/>
    <n v="1"/>
    <n v="36"/>
  </r>
  <r>
    <n v="324"/>
    <s v="0367"/>
    <s v="GUENAA"/>
    <d v="2022-06-22T00:00:00"/>
    <x v="6"/>
    <s v="GAA0709"/>
    <s v="FR-300-GAA-0168-2022"/>
    <s v="N/A"/>
    <s v="Suministro e Instalación Celda Sistema de Arranque Bombeo Bellavista 2 - Planta Río Cali"/>
    <n v="130495795"/>
    <s v="30 DIAS"/>
    <s v="900-IP-0367-2022"/>
    <m/>
    <n v="202203910"/>
    <m/>
    <s v="N/A"/>
    <s v="N/A"/>
    <s v="N/A"/>
    <x v="2"/>
    <s v="JULIETA ORTIZ"/>
    <d v="2022-06-24T00:00:00"/>
    <n v="84"/>
    <n v="82"/>
    <s v="SI"/>
    <s v="Entregado al area"/>
    <x v="1"/>
    <s v="2 DE AGOSTO EN APROBACION DE POLIZAS"/>
    <m/>
    <d v="2022-08-18T00:00:00"/>
    <x v="1"/>
    <m/>
    <n v="57"/>
    <n v="55"/>
    <s v="G"/>
    <s v="INVERSION"/>
    <s v="300-AO-2054-2022"/>
    <d v="2022-07-26T00:00:00"/>
    <n v="127802430"/>
    <s v="CONFECCIONES ELECTRICAS SAS EN REORGANIZACION"/>
    <n v="202207318"/>
    <n v="2693365"/>
    <m/>
    <m/>
    <m/>
    <m/>
    <m/>
    <s v="CANDELARIA"/>
    <s v="MUNICIPAL"/>
    <s v="UNIDAD DE MANTENIMIENTO"/>
    <n v="2.0639477310360844E-2"/>
    <n v="1"/>
    <n v="1"/>
    <n v="41"/>
  </r>
  <r>
    <n v="325"/>
    <s v="0368"/>
    <s v="GUENAA"/>
    <d v="2022-06-22T00:00:00"/>
    <x v="6"/>
    <s v="GAA0414"/>
    <s v="FR-300-GAA-0170-2022"/>
    <s v="N/A"/>
    <s v="Realizar actividades para la gestión del Parque de medidores y el mejoramiento de la medición de consumos"/>
    <n v="499413972"/>
    <s v="3 Meses"/>
    <s v="900-IP-0368-2022"/>
    <m/>
    <n v="202203888"/>
    <n v="1113359867"/>
    <s v="N/A"/>
    <s v="N/A"/>
    <s v="N/A"/>
    <x v="2"/>
    <s v="HAROLD MONDRAGON"/>
    <d v="2022-06-22T00:00:00"/>
    <n v="84"/>
    <n v="84"/>
    <s v="SI"/>
    <s v="Entregado al area"/>
    <x v="1"/>
    <s v="18 DE JULIO EN REVISION DE LA FPA POR PARTE DE LA JEFE SANDRA_x000a_1 DE AGOSTO ESPERANDO LA POLIZAS"/>
    <m/>
    <d v="2022-08-05T00:00:00"/>
    <x v="1"/>
    <m/>
    <n v="44"/>
    <n v="44"/>
    <s v="G"/>
    <s v="FUNCIONAMIENTO"/>
    <s v="300-AO-2044-2022"/>
    <d v="2022-07-22T00:00:00"/>
    <n v="493806334"/>
    <s v="DELTEC SA"/>
    <n v="202207235"/>
    <n v="5607638"/>
    <m/>
    <m/>
    <m/>
    <m/>
    <m/>
    <s v="CALI"/>
    <s v="LOCAL"/>
    <s v="UNIDAD CONTROL INTEGRAL DE PERDIDAS DE AGUA"/>
    <n v="1.1228436356201904E-2"/>
    <n v="1"/>
    <n v="1"/>
    <n v="32"/>
  </r>
  <r>
    <n v="326"/>
    <s v="0369"/>
    <s v="GUENAA"/>
    <d v="2022-06-22T00:00:00"/>
    <x v="6"/>
    <s v="GAA0680"/>
    <s v="FR-300-GAA-0172-2022"/>
    <s v="N/A"/>
    <s v="Mantenimiento de equipamiento marca Metrohm y Skatpure del Laboratorio de Agua Potable"/>
    <n v="71971578"/>
    <s v="90 DIAS"/>
    <s v="900-IP-0369-2022"/>
    <m/>
    <n v="202202235"/>
    <n v="72000000"/>
    <s v="N/A"/>
    <s v="N/A"/>
    <s v="N/A"/>
    <x v="2"/>
    <s v="CRISTHIAN BURBANO"/>
    <d v="2022-06-22T00:00:00"/>
    <n v="-44734"/>
    <n v="-44734"/>
    <s v="SI"/>
    <s v="Entregado al area"/>
    <x v="1"/>
    <s v="18 de julio en aceptacion de oferta"/>
    <m/>
    <d v="2022-07-26T00:00:00"/>
    <x v="10"/>
    <m/>
    <m/>
    <m/>
    <s v="G"/>
    <s v="FUNCIONAMIENTO"/>
    <s v="300-AO-2032-2022"/>
    <d v="2022-07-15T00:00:00"/>
    <n v="71971578"/>
    <s v="POLCO SAS"/>
    <n v="202207176"/>
    <n v="0"/>
    <m/>
    <m/>
    <m/>
    <m/>
    <m/>
    <s v="MEDELLIN"/>
    <s v="NACIONAL"/>
    <s v="LABORATORIO DE AGUA POTABLE"/>
    <n v="0"/>
    <n v="1"/>
    <n v="1"/>
    <n v="24"/>
  </r>
  <r>
    <n v="327"/>
    <s v="0370"/>
    <s v="GUENAA"/>
    <d v="2022-06-22T00:00:00"/>
    <x v="6"/>
    <s v="GAA0059_x000a_GAA0686"/>
    <s v="FR-300-GAA-0173-2022"/>
    <s v="N/A"/>
    <s v="Mnatenimiento de equipamiento de los Laboratorios de Ensayos de la UENAA"/>
    <n v="144234069"/>
    <s v="90 DIAS"/>
    <s v="900-IP-0370-2022"/>
    <m/>
    <s v="202202233_x000a_202202242"/>
    <n v="144346069"/>
    <s v="N/A"/>
    <s v="N/A"/>
    <s v="N/A"/>
    <x v="2"/>
    <s v="CRISTHIAN BURBANO"/>
    <d v="2022-06-22T00:00:00"/>
    <n v="84"/>
    <n v="84"/>
    <s v="G"/>
    <s v="Entregado al area"/>
    <x v="1"/>
    <s v="18 de julio en aceptacion de oferta"/>
    <m/>
    <d v="2022-08-01T00:00:00"/>
    <x v="1"/>
    <m/>
    <n v="40"/>
    <n v="40"/>
    <s v="G"/>
    <s v="FUNCIONAMIENTO"/>
    <s v="300-AO-2028-2022"/>
    <d v="2022-07-15T00:00:00"/>
    <n v="142708534"/>
    <s v="CONTROL E INSTRUMENTACION INDUSTRIAL DE COLOMBIA SAS"/>
    <n v="202207129"/>
    <n v="1525535"/>
    <m/>
    <m/>
    <m/>
    <m/>
    <m/>
    <s v="CALI"/>
    <s v="LOCAL"/>
    <s v="LABORATORIO DE AGUA POTABLE"/>
    <n v="1.0576800686389843E-2"/>
    <n v="1"/>
    <n v="1"/>
    <n v="28"/>
  </r>
  <r>
    <n v="328"/>
    <s v="0371"/>
    <s v="GTI"/>
    <d v="2022-06-24T00:00:00"/>
    <x v="6"/>
    <s v="GTI0027"/>
    <s v="FR-200-GTI-0101-2022"/>
    <s v="N/A"/>
    <s v="Renovación de las suscripciones en la nube de Microsoft Dynamics CRM"/>
    <n v="455000000"/>
    <s v="60 DIAS"/>
    <s v="900-IP-0371-2022"/>
    <m/>
    <n v="202203098"/>
    <m/>
    <s v="N/A"/>
    <s v="N/A"/>
    <s v="N/A"/>
    <x v="2"/>
    <s v="PAOLA BELTRAN"/>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x v="1"/>
    <m/>
    <n v="45"/>
    <n v="45"/>
    <s v="G"/>
    <s v="FUNCIONAMIENTO"/>
    <s v="200-AO-1976-222"/>
    <d v="2022-06-30T00:00:00"/>
    <n v="452335404"/>
    <s v="CONTROLES EMPRESARIALES SAS"/>
    <n v="202206957"/>
    <n v="2664596"/>
    <m/>
    <m/>
    <m/>
    <m/>
    <m/>
    <s v="CALI"/>
    <s v="LOCAL"/>
    <s v="GTI"/>
    <n v="5.8562549450549449E-3"/>
    <n v="0"/>
    <n v="1"/>
    <n v="31"/>
  </r>
  <r>
    <n v="329"/>
    <s v="0372"/>
    <s v="GUENE"/>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s v="JULIETA ORTIZ"/>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x v="5"/>
    <s v="nov"/>
    <n v="158"/>
    <n v="152"/>
    <m/>
    <s v="INVERSION"/>
    <m/>
    <m/>
    <m/>
    <m/>
    <m/>
    <m/>
    <m/>
    <m/>
    <m/>
    <m/>
    <m/>
    <m/>
    <m/>
    <m/>
    <m/>
    <n v="1"/>
    <m/>
    <m/>
  </r>
  <r>
    <n v="330"/>
    <s v="0373"/>
    <s v="GUENAA"/>
    <d v="2022-06-24T00:00:00"/>
    <x v="6"/>
    <s v="GAA0651"/>
    <s v="FR-300-GAA-0087-2022"/>
    <s v="N/A"/>
    <s v="Suministro de equipos de Automatismo y Telemetría"/>
    <n v="244211285"/>
    <m/>
    <s v="900-IP-0373-2022"/>
    <s v="IP-"/>
    <n v="202201156"/>
    <m/>
    <s v="N/A"/>
    <s v="N/A"/>
    <s v="N/A"/>
    <x v="2"/>
    <s v="LINA ECHAVARRIA"/>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x v="5"/>
    <s v="ago"/>
    <n v="41"/>
    <n v="16"/>
    <m/>
    <s v="INVERSION"/>
    <m/>
    <m/>
    <m/>
    <m/>
    <m/>
    <m/>
    <m/>
    <m/>
    <m/>
    <m/>
    <m/>
    <m/>
    <m/>
    <m/>
    <m/>
    <n v="1"/>
    <m/>
    <m/>
  </r>
  <r>
    <n v="331"/>
    <s v="0374"/>
    <s v="GUENAA"/>
    <d v="2022-06-24T00:00:00"/>
    <x v="6"/>
    <s v="GAA0378"/>
    <s v="FR-300-GAA-0151-2022"/>
    <s v="N/A"/>
    <s v="Mantenimiento equipos menores estaciones de bombeo de aguas lluvias y/o residuales"/>
    <n v="170109720"/>
    <m/>
    <s v="900-IP-0314-2022"/>
    <m/>
    <n v="202201832"/>
    <m/>
    <s v="N/A"/>
    <s v="N/A"/>
    <s v="N/A"/>
    <x v="2"/>
    <s v="LINA ECHAVARRIA"/>
    <d v="2022-07-19T00:00:00"/>
    <e v="#VALUE!"/>
    <e v="#VALUE!"/>
    <s v="SI"/>
    <s v="Entregado al area"/>
    <x v="1"/>
    <s v="14 de julio en cotizaciones_x000a_19 de julio reasignado a lina echavarria_x000a_1 DE AGOSTO EN ELABORACION EN FPA E INVITACION"/>
    <m/>
    <d v="2022-09-29T00:00:00"/>
    <x v="11"/>
    <m/>
    <n v="97"/>
    <n v="72"/>
    <s v="G"/>
    <s v="FUNCIONAMIENTO"/>
    <s v="300-AO-2339-2022"/>
    <m/>
    <n v="168831739"/>
    <s v="Bego Ingeniería Cosultores SAS"/>
    <m/>
    <n v="1277981"/>
    <m/>
    <m/>
    <m/>
    <m/>
    <m/>
    <m/>
    <m/>
    <s v="UNIDAD DE BOMBEO"/>
    <n v="7.5126865178544765E-3"/>
    <n v="1"/>
    <n v="1"/>
    <n v="69"/>
  </r>
  <r>
    <n v="332"/>
    <s v="0375"/>
    <s v="GTI"/>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s v="PAOLA BELTRAN"/>
    <d v="2022-06-28T00:00:00"/>
    <n v="82"/>
    <n v="78"/>
    <s v="SI"/>
    <s v="Entregado al area"/>
    <x v="1"/>
    <s v="18 de julio en invitacion a ofertar_x000a_1 de agosto en revision de la aceptacion de oferta. 5 DE AGOSTO EN SOLICITUD DE POLIZAS AL PROVEEDOR."/>
    <m/>
    <d v="2022-08-17T00:00:00"/>
    <x v="1"/>
    <m/>
    <n v="54"/>
    <n v="50"/>
    <s v="G"/>
    <s v="FUNCIONAMIENTO"/>
    <s v="200-AO-2077-2022"/>
    <d v="2022-08-02T00:00:00"/>
    <n v="298000000"/>
    <s v="OPTIMAL THECNOLOGY SAS"/>
    <n v="202207629"/>
    <n v="2000000"/>
    <m/>
    <m/>
    <m/>
    <m/>
    <m/>
    <s v="CALI"/>
    <s v="LOCAL"/>
    <s v="GTI"/>
    <n v="6.6666666666666671E-3"/>
    <n v="0"/>
    <n v="1"/>
    <n v="33"/>
  </r>
  <r>
    <n v="333"/>
    <s v="0376"/>
    <s v="GUENE"/>
    <d v="2022-06-28T00:00:00"/>
    <x v="6"/>
    <s v="GE0313"/>
    <s v="FR-500-GE-0115-2022"/>
    <s v="N/A"/>
    <s v="Calibración de Instrumentos y Equipos de Laboratorio"/>
    <n v="40721800"/>
    <s v="28 DE NOVIEMBRE 2022"/>
    <s v="900-IP-0376-2022"/>
    <m/>
    <n v="202201683"/>
    <n v="40721800"/>
    <s v="N/A"/>
    <s v="N/A"/>
    <s v="N/A"/>
    <x v="2"/>
    <s v="JUAN DAVID GOMEZ"/>
    <d v="2022-06-28T00:00:00"/>
    <n v="78"/>
    <n v="78"/>
    <s v="SI"/>
    <s v="Entregado al area"/>
    <x v="1"/>
    <s v="1 de agosto esperando firma de fpa e invitacion. 5 DE AGOSTO PARA ENVIAR INVITACION A OFERTAR."/>
    <m/>
    <d v="2022-08-30T00:00:00"/>
    <x v="1"/>
    <m/>
    <n v="63"/>
    <n v="63"/>
    <s v="G"/>
    <s v="FUNCIONAMIENTO"/>
    <s v="500-AO-2208-2022"/>
    <d v="2022-08-24T00:00:00"/>
    <n v="40721800"/>
    <s v="QTEST SAS"/>
    <n v="202207958"/>
    <n v="0"/>
    <m/>
    <m/>
    <m/>
    <m/>
    <m/>
    <s v="ENVIGADO"/>
    <s v="NACIONAL"/>
    <s v="UNIDAD DE SERVICIOS COMPLEMENTARIOS"/>
    <n v="0"/>
    <n v="1"/>
    <n v="1"/>
    <n v="45"/>
  </r>
  <r>
    <n v="334"/>
    <s v="0377"/>
    <s v="GUENAA"/>
    <d v="2022-06-28T00:00:00"/>
    <x v="6"/>
    <s v="GAA0266_x000a_GAA0268"/>
    <s v="FR-300-GAA-0139-2022"/>
    <s v="N/A"/>
    <s v="Suministro e instalación de unidades de bombeo centrifugas PTAP y Bocatoma &quot;La Reforma&quot;"/>
    <n v="62299950"/>
    <m/>
    <s v="900-IP-0377-2022"/>
    <m/>
    <s v="202202917_x000a_202202918"/>
    <m/>
    <s v="N/A"/>
    <s v="N/A"/>
    <s v="N/A"/>
    <x v="2"/>
    <s v="ANA MARIA GIL"/>
    <d v="2022-06-28T00:00:00"/>
    <n v="78"/>
    <n v="78"/>
    <s v="SI"/>
    <s v="Entregado al area"/>
    <x v="1"/>
    <s v="2 DE AGOSTO PENDIENTE DE LA POLIZA POR PARTE DEL PROVEEDOR 5 DE AGOSTO EN ESPERA DE LA APROBACION DE POLIZAS"/>
    <m/>
    <d v="2022-08-09T00:00:00"/>
    <x v="1"/>
    <m/>
    <n v="42"/>
    <n v="42"/>
    <s v="G"/>
    <s v="INVERSION"/>
    <s v="300-AO-2043-2022"/>
    <d v="2022-07-25T00:00:00"/>
    <n v="62044993"/>
    <s v="B&amp;V INGENIERIA"/>
    <m/>
    <n v="254957"/>
    <m/>
    <m/>
    <m/>
    <m/>
    <m/>
    <m/>
    <m/>
    <s v="UNIDAD DE MANTENIMIENTO"/>
    <n v="4.0924109890938913E-3"/>
    <n v="1"/>
    <n v="1"/>
    <n v="23"/>
  </r>
  <r>
    <n v="335"/>
    <s v="0378"/>
    <s v="GUENT"/>
    <d v="2022-06-28T00:00:00"/>
    <x v="6"/>
    <s v="GT0177"/>
    <s v="FR-400-GT-0189-2022"/>
    <s v="N/A"/>
    <s v="Mantenimiento Correctivo de Transferencias Automáticas"/>
    <n v="58191000"/>
    <s v="90 DIAS"/>
    <s v="900-IP-0378-2022"/>
    <m/>
    <n v="202202939"/>
    <m/>
    <s v="N/A"/>
    <s v="N/A"/>
    <s v="N/A"/>
    <x v="2"/>
    <s v="JULIETA ORTIZ"/>
    <d v="2022-06-30T00:00:00"/>
    <n v="-44740"/>
    <n v="-44742"/>
    <s v="G"/>
    <s v="Aprobacion de polizas"/>
    <x v="1"/>
    <s v="2 DE AGOSTO EN SOLICITUD DEL RP 5 de agosto en aprobacion de polizas"/>
    <m/>
    <d v="2022-08-17T00:00:00"/>
    <x v="1"/>
    <m/>
    <n v="50"/>
    <n v="48"/>
    <s v="G"/>
    <s v="FUNCIONAMIENTO"/>
    <s v="400-AO-2073-2022"/>
    <d v="2022-08-01T00:00:00"/>
    <n v="56141820"/>
    <s v="LACC INGENIERIA SAS"/>
    <n v="202207624"/>
    <n v="2049180"/>
    <m/>
    <m/>
    <m/>
    <m/>
    <m/>
    <s v="CALI"/>
    <s v="LOCAL"/>
    <s v="SUBGERENCIA OPERATIVA"/>
    <n v="3.5214723926380365E-2"/>
    <n v="1"/>
    <n v="1"/>
    <n v="36"/>
  </r>
  <r>
    <n v="336"/>
    <s v="0379"/>
    <s v="GUENT"/>
    <d v="2022-06-28T00:00:00"/>
    <x v="6"/>
    <s v="GT0171"/>
    <s v="FR-400-GT-0180-2022"/>
    <s v="N/A"/>
    <s v="Mantenimiento Correctivo de plantas de emergencia de las Centrales Telefónicas de EMCALI EICE ESP."/>
    <n v="74052510"/>
    <m/>
    <s v="900-IP-0379-2022"/>
    <s v="IP-"/>
    <n v="202202934"/>
    <m/>
    <s v="N/A"/>
    <s v="N/A"/>
    <s v="N/A"/>
    <x v="2"/>
    <s v="JHON LARRY "/>
    <d v="2022-06-28T00:00:00"/>
    <e v="#VALUE!"/>
    <e v="#VALUE!"/>
    <s v="SI"/>
    <s v="Solicitud de Polizas y Rp"/>
    <x v="1"/>
    <m/>
    <s v="2 de agosto en elaboracion de la fpa e invitacion. tODAS LAS COTIZACIONES HAN ESTADO POR ENCIMA DEL VALOR DEL PRESUPUESTO, NO SE HA LOGRADO LLEGAR A ACUERDOS._x000a_28 DE SEPTIEMBRE PENDIENE EL REGISTRO PRESUPUESTAL"/>
    <d v="2022-11-08T00:00:00"/>
    <x v="13"/>
    <m/>
    <n v="133"/>
    <n v="133"/>
    <s v="G"/>
    <s v="FUNCIONAMIENTO"/>
    <s v="400-AO-2336-2022"/>
    <d v="2022-09-15T00:00:00"/>
    <n v="70871337"/>
    <s v="ELECTRO REDES GLOBAL SAS"/>
    <s v="AB-2300002869"/>
    <n v="3181173"/>
    <m/>
    <m/>
    <m/>
    <m/>
    <m/>
    <m/>
    <m/>
    <m/>
    <n v="4.295834131753265E-2"/>
    <n v="1"/>
    <n v="1"/>
    <n v="68"/>
  </r>
  <r>
    <n v="337"/>
    <s v="0380"/>
    <s v="GUENT"/>
    <d v="2022-06-28T00:00:00"/>
    <x v="6"/>
    <s v="GT0203"/>
    <s v="FR-400-GT-0170-2022"/>
    <s v="N/A"/>
    <s v="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
    <n v="44165109"/>
    <s v="120 DIAS"/>
    <s v="900-IP-0380-2022"/>
    <m/>
    <s v="202204407_x000a_202204408"/>
    <n v="44165109"/>
    <s v="N/A"/>
    <s v="N/A"/>
    <s v="N/A"/>
    <x v="2"/>
    <s v="JULIO GARCIA"/>
    <d v="2022-06-30T00:00:00"/>
    <e v="#VALUE!"/>
    <e v="#VALUE!"/>
    <s v="SI"/>
    <s v="Entregado al area"/>
    <x v="1"/>
    <s v="2 de agosto en evaluacion"/>
    <m/>
    <d v="2022-08-05T00:00:00"/>
    <x v="11"/>
    <m/>
    <n v="38"/>
    <n v="36"/>
    <s v="G"/>
    <s v="FUNCIONAMIENTO"/>
    <s v="400-AO-2178-2022"/>
    <d v="2022-08-19T00:00:00"/>
    <n v="34676048"/>
    <s v="RENTAMETRIC COLOMBIA SAS"/>
    <n v="202208282"/>
    <n v="9489061"/>
    <m/>
    <m/>
    <m/>
    <m/>
    <m/>
    <m/>
    <m/>
    <s v="SUBGERENCIA OPERATIVA"/>
    <n v="0.21485424161412123"/>
    <n v="1"/>
    <n v="1"/>
    <n v="28"/>
  </r>
  <r>
    <n v="338"/>
    <s v="0381"/>
    <s v="GTI"/>
    <d v="2022-06-28T00:00:00"/>
    <x v="6"/>
    <s v="GTI0021"/>
    <s v="FR-200-GTI-0107-2022"/>
    <s v="N/A"/>
    <s v="Contratar el servicio de soporte reactivación y mantenimiento del Software SAP"/>
    <n v="1440383280"/>
    <s v="31 DE DICIEMBRE 2022"/>
    <s v="900-IPU-0381-2022"/>
    <m/>
    <s v="202202915_x000a_202203525"/>
    <m/>
    <s v="N/A"/>
    <s v="N/A"/>
    <s v="Mayor cuantia"/>
    <x v="0"/>
    <s v="PAOLA BELTRAN"/>
    <d v="2022-06-30T00:00:00"/>
    <n v="78"/>
    <n v="76"/>
    <s v="SI"/>
    <s v="Entregado al area"/>
    <x v="1"/>
    <s v="1 DE AGOSTO EN RECEPCION DE COTIZACIONES. 5 DE AGOSTO PENDIENTE REUNION CON LOS DE SAP PARA CLARAR LAS POLIZAS. ESPERANDO RECEPCION DE OFERTAS."/>
    <m/>
    <d v="2022-08-30T00:00:00"/>
    <x v="1"/>
    <m/>
    <n v="63"/>
    <n v="61"/>
    <s v="B"/>
    <s v="FUNCIONAMIENTO"/>
    <s v="200-AO-2215-2022"/>
    <d v="2022-08-30T00:00:00"/>
    <n v="1440382665"/>
    <s v="SAP COLOMBIA SAS"/>
    <n v="202207980"/>
    <n v="615"/>
    <m/>
    <m/>
    <m/>
    <m/>
    <m/>
    <s v="BOGOTA"/>
    <s v="NACIONAL"/>
    <s v="GTI"/>
    <n v="4.2696968823464819E-7"/>
    <n v="0"/>
    <n v="2"/>
    <n v="63"/>
  </r>
  <r>
    <n v="339"/>
    <s v="0382"/>
    <s v="GUENE"/>
    <d v="2022-06-30T00:00:00"/>
    <x v="6"/>
    <s v="GE0256"/>
    <s v="FR-500-GE-0128-2022"/>
    <s v="N/A"/>
    <s v="Realizar mediciones ambientales de ruido y de campos electromagnéticos en subestaciones de energía y lineas de Subtransmisión a 115 Kv"/>
    <n v="26610066"/>
    <s v="90 DIAS"/>
    <s v="900-IP-0382-2022"/>
    <m/>
    <n v="202202106"/>
    <n v="26610066"/>
    <s v="N/A"/>
    <s v="N/A"/>
    <s v="N/A"/>
    <x v="2"/>
    <s v="DIEGO PATIÑO"/>
    <d v="2022-06-30T00:00:00"/>
    <n v="131"/>
    <n v="131"/>
    <s v="SI"/>
    <s v="Entregado al area"/>
    <x v="1"/>
    <s v="28 DE SEPTIMEBRE EN SOLICITUD DE POLIZAS"/>
    <m/>
    <d v="2022-10-04T00:00:00"/>
    <x v="12"/>
    <n v="96"/>
    <m/>
    <n v="96"/>
    <s v="G"/>
    <s v="OPERACIÓN"/>
    <s v="500-AO-2363-2022"/>
    <d v="2022-09-15T00:00:00"/>
    <n v="25480280"/>
    <s v="HIGIENE OCUPACIONAL Y AMBIENTAL LTDA"/>
    <n v="202208524"/>
    <n v="1129786"/>
    <s v="CALI"/>
    <s v="LOCAL"/>
    <m/>
    <m/>
    <m/>
    <m/>
    <m/>
    <m/>
    <n v="4.2457091237579042E-2"/>
    <n v="1"/>
    <n v="1"/>
    <n v="63"/>
  </r>
  <r>
    <n v="340"/>
    <s v="0383"/>
    <s v="GUENE"/>
    <d v="2022-06-30T00:00:00"/>
    <x v="6"/>
    <s v="GE0202"/>
    <s v="FR-500-GE-0203-2022"/>
    <s v="N/A"/>
    <s v="Suministro de Fuente para Remota de Subestación CDS"/>
    <n v="21763648"/>
    <m/>
    <s v="900-IP-0383-2022"/>
    <s v="IP-"/>
    <n v="202203959"/>
    <m/>
    <s v="N/A"/>
    <s v="N/A"/>
    <s v="N/A"/>
    <x v="2"/>
    <s v="ANA MARIA GIL"/>
    <d v="2022-08-04T00:00:00"/>
    <e v="#VALUE!"/>
    <e v="#VALUE!"/>
    <s v="NO"/>
    <s v="Devuelto"/>
    <x v="2"/>
    <m/>
    <s v="18 de julio en cotizaciones_x000a_2 agosto en solicitud de cotizaciones 4 DE AGOSTO REASIGNADO A ANA MARIA GIL_x000a_28 DE SEPTIEMBRE DEVUELTO AL AREA"/>
    <d v="2022-09-08T00:00:00"/>
    <x v="5"/>
    <s v="sep"/>
    <n v="70"/>
    <n v="35"/>
    <s v="G"/>
    <s v="INVERSION"/>
    <m/>
    <m/>
    <m/>
    <m/>
    <m/>
    <m/>
    <m/>
    <m/>
    <m/>
    <m/>
    <m/>
    <m/>
    <m/>
    <m/>
    <m/>
    <n v="1"/>
    <m/>
    <m/>
  </r>
  <r>
    <n v="341"/>
    <s v="0384"/>
    <s v="GUENE"/>
    <d v="2022-06-30T00:00:00"/>
    <x v="6"/>
    <s v="GE0205"/>
    <s v="FR-500-GE-0212-2022"/>
    <s v="N/A"/>
    <s v="Suministro de GPS de Subestación"/>
    <n v="66269198"/>
    <m/>
    <s v="900-IP-0384-2022"/>
    <s v="IP-"/>
    <n v="202203958"/>
    <m/>
    <s v="N/A"/>
    <s v="N/A"/>
    <s v="N/A"/>
    <x v="2"/>
    <s v="ANA MARIA GIL"/>
    <d v="2022-08-04T00:00:00"/>
    <e v="#VALUE!"/>
    <e v="#VALUE!"/>
    <m/>
    <s v="Cerrado"/>
    <x v="0"/>
    <d v="2022-12-07T00:00:00"/>
    <s v="18 de julio en cotizaciones_x000a_2 agosto en solicitud de cotizaciones 4 DE AGOSTO EN ELABROACION DE FPA E INVITACION_x000a_28 DE SEPTIEMBRE EN EXPEDICION DE POLIZAS_x000a_31 de octubre en solicitu de polizas_x000a_09-11-2022, en firma de contratista"/>
    <d v="2022-11-09T00:00:00"/>
    <x v="5"/>
    <s v="nov"/>
    <n v="132"/>
    <n v="97"/>
    <s v="G"/>
    <s v="INVERSION"/>
    <m/>
    <m/>
    <m/>
    <m/>
    <m/>
    <m/>
    <m/>
    <m/>
    <m/>
    <m/>
    <m/>
    <m/>
    <m/>
    <m/>
    <m/>
    <n v="1"/>
    <m/>
    <m/>
  </r>
  <r>
    <n v="342"/>
    <s v="0385"/>
    <s v="GUENE"/>
    <d v="2022-06-30T00:00:00"/>
    <x v="6"/>
    <s v="GE0329"/>
    <s v="FR-500-GE-0213-2022"/>
    <s v="N/A"/>
    <s v="Suministro de Modem Router 4G"/>
    <n v="67851991"/>
    <s v="60 DIAS"/>
    <s v="900-IP-0385-2022"/>
    <m/>
    <n v="202203957"/>
    <m/>
    <s v="N/A"/>
    <s v="N/A"/>
    <s v="N/A"/>
    <x v="2"/>
    <s v="ANA MARIA GIL"/>
    <d v="2022-08-04T00:00:00"/>
    <e v="#VALUE!"/>
    <e v="#VALUE!"/>
    <s v="SI"/>
    <s v="Entregado al area"/>
    <x v="1"/>
    <s v="18 de julio en cotizaciones_x000a_2 agosto en solicitud de cotizaciones 4 DE AGOSTO REASIGNADOS A ANA MARIA GIL SE ENCUENTRA EN ELABORACION DE FPA E INVITACION"/>
    <m/>
    <d v="2022-09-13T00:00:00"/>
    <x v="11"/>
    <m/>
    <n v="75"/>
    <n v="40"/>
    <s v="G"/>
    <s v="INVERSION"/>
    <s v="500-AO-2248-2022"/>
    <d v="2022-09-05T00:00:00"/>
    <n v="64070076"/>
    <s v="POTENCIAS Y TECNOLOGIAS INCORPORADAS SA"/>
    <n v="202208361"/>
    <n v="3781915"/>
    <m/>
    <m/>
    <m/>
    <m/>
    <m/>
    <s v="CALI"/>
    <s v="LOCAL"/>
    <s v="UNIDAD DE OPERACIÓN"/>
    <n v="5.573771593526268E-2"/>
    <n v="1"/>
    <n v="1"/>
    <n v="30"/>
  </r>
  <r>
    <n v="343"/>
    <s v="0386"/>
    <s v="GUENE"/>
    <d v="2022-06-30T00:00:00"/>
    <x v="6"/>
    <s v="GE0328"/>
    <s v="FR-500-GE-0211-2022"/>
    <s v="N/A"/>
    <s v="Suministro de Inversor para RACK de 125 V DC 120 V AC"/>
    <n v="31887240"/>
    <m/>
    <s v="900-IP-0386-2022"/>
    <s v="IP-"/>
    <n v="202203959"/>
    <m/>
    <s v="N/A"/>
    <s v="N/A"/>
    <s v="N/A"/>
    <x v="2"/>
    <s v="ANA MARIA GIL"/>
    <d v="2022-08-04T00:00:00"/>
    <e v="#VALUE!"/>
    <e v="#VALUE!"/>
    <s v="NO"/>
    <s v="Cerrado"/>
    <x v="0"/>
    <m/>
    <s v="18 de julio en cotizaciones_x000a_2 de agosto enr ecepcion de ofertas para el 4 de agosto 4 DE AGOSTO REASIGNADO A ANA MARIA GIL_x000a_24 DE AGOSTO SE CERRO PORQUE LE PROVEEDOR NO APORTO EL DOCUMENTO DE SISTEMA DE SEGURIDAD Y SALUD EN EL TRABAJO."/>
    <d v="2022-08-24T00:00:00"/>
    <x v="5"/>
    <s v="ago"/>
    <n v="55"/>
    <n v="20"/>
    <s v="G"/>
    <s v="INVERSION"/>
    <m/>
    <m/>
    <m/>
    <m/>
    <m/>
    <m/>
    <m/>
    <m/>
    <m/>
    <m/>
    <m/>
    <m/>
    <m/>
    <m/>
    <m/>
    <n v="1"/>
    <m/>
    <m/>
  </r>
  <r>
    <n v="344"/>
    <s v="0387"/>
    <s v="GUENAA"/>
    <d v="2022-07-01T00:00:00"/>
    <x v="7"/>
    <s v="GAA0086_x000a_GAA0087"/>
    <s v="FR-300-GAA-0177-2022"/>
    <s v="N/A"/>
    <s v="Calibración de equipamiento de los Laboratorios de Ensayos y Calibraciones de la UENAA"/>
    <n v="30697842"/>
    <s v="90 DIAS"/>
    <s v="900-IP-0387-2022"/>
    <m/>
    <s v="202202262_x000a_202202458"/>
    <n v="20000000"/>
    <s v="N/A"/>
    <s v="N/A"/>
    <s v="N/A"/>
    <x v="2"/>
    <s v="JULIO GARCIA"/>
    <d v="2022-08-08T00:00:00"/>
    <e v="#VALUE!"/>
    <e v="#VALUE!"/>
    <s v="SI"/>
    <s v="Entregado al area"/>
    <x v="1"/>
    <m/>
    <m/>
    <d v="2022-09-21T00:00:00"/>
    <x v="11"/>
    <m/>
    <n v="82"/>
    <n v="44"/>
    <s v="G"/>
    <s v="FUNCIONAMIENTO"/>
    <s v="300-AO-2281-2022"/>
    <d v="2022-09-14T00:00:00"/>
    <n v="30684578"/>
    <s v="MESURA Y METROLOGIA LTDA"/>
    <n v="202208412"/>
    <n v="13264"/>
    <m/>
    <m/>
    <m/>
    <m/>
    <m/>
    <s v="CALI"/>
    <s v="LOCAL"/>
    <s v="LABORATORIO DE AGUA POTABLE"/>
    <n v="4.3208248970725692E-4"/>
    <n v="1"/>
    <n v="1"/>
    <n v="58"/>
  </r>
  <r>
    <n v="345"/>
    <s v="0388"/>
    <s v="GUENAA"/>
    <d v="2022-07-01T00:00:00"/>
    <x v="7"/>
    <s v="GAA0679"/>
    <s v="FR-300-GAA-0178-2022"/>
    <s v="N/A"/>
    <s v="Mantenimiento del sistema HVAC del Laboratorio de Agua Potable"/>
    <n v="69914880"/>
    <s v="90 DIAS"/>
    <s v="900-IP-0388-2022"/>
    <m/>
    <n v="202202234"/>
    <n v="69914880"/>
    <s v="N/A"/>
    <s v="N/A"/>
    <s v="N/A"/>
    <x v="2"/>
    <s v="ANA MARIA GIL"/>
    <d v="2022-08-08T00:00:00"/>
    <e v="#VALUE!"/>
    <e v="#VALUE!"/>
    <s v="SI"/>
    <s v="Entregado al area"/>
    <x v="1"/>
    <m/>
    <m/>
    <d v="2022-09-23T00:00:00"/>
    <x v="11"/>
    <m/>
    <n v="84"/>
    <n v="46"/>
    <s v="G"/>
    <s v="FUNCIONAMIENTO"/>
    <s v="300-AO-2337-2022"/>
    <d v="2022-09-15T00:00:00"/>
    <n v="57330202"/>
    <s v="VLADIMIR ROMERO SERVICIOS DE INGENIERIA SAS"/>
    <m/>
    <n v="12584678"/>
    <m/>
    <m/>
    <m/>
    <m/>
    <m/>
    <s v="CALI"/>
    <s v="LOCAL"/>
    <s v="LABORATORIO DE AGUA POTABLE"/>
    <n v="0.17999999427875726"/>
    <n v="1"/>
    <n v="1"/>
    <n v="30"/>
  </r>
  <r>
    <n v="346"/>
    <s v="0389"/>
    <s v="GUENAA"/>
    <d v="2022-07-01T00:00:00"/>
    <x v="7"/>
    <s v="GAA0739"/>
    <s v="FR-300-GAA-0180-2022"/>
    <s v="300-CMA-1892-2022"/>
    <s v="Suministro de Alcalinizante para las Plantas de Tratamiento de Agua Potable de la Unidad de Producción de Agua Potable: Cal Viva"/>
    <n v="110134500"/>
    <m/>
    <s v="900-IP-0389-2022"/>
    <s v="IP-"/>
    <n v="202202688"/>
    <n v="110134500"/>
    <s v="N/A"/>
    <s v="N/A"/>
    <s v="N/A"/>
    <x v="2"/>
    <s v="AYDEE OVALLE"/>
    <d v="2022-07-01T00:00:00"/>
    <e v="#VALUE!"/>
    <e v="#VALUE!"/>
    <s v="NO"/>
    <s v="Entregado al area"/>
    <x v="1"/>
    <m/>
    <s v="18 de julio en elaboracion de la fpa_x000a_2 DE AGOSTO EN EVALUACION DE SUBSANBLES_x000a_ACTA DE TERMINACION ANTICIPADA "/>
    <d v="2022-09-08T00:00:00"/>
    <x v="14"/>
    <s v="sep"/>
    <n v="69"/>
    <n v="69"/>
    <s v="L"/>
    <s v="OPERACIÓN"/>
    <s v="300-AO-2088-2022"/>
    <d v="2022-08-05T00:00:00"/>
    <n v="110134500"/>
    <s v="CALABASTOS S.A.S."/>
    <n v="202207715"/>
    <n v="0"/>
    <m/>
    <m/>
    <m/>
    <m/>
    <m/>
    <m/>
    <m/>
    <m/>
    <n v="0"/>
    <n v="1"/>
    <n v="1"/>
    <n v="22"/>
  </r>
  <r>
    <n v="347"/>
    <s v="0390"/>
    <s v="GUENE"/>
    <d v="2022-07-01T00:00:00"/>
    <x v="7"/>
    <s v="GE0222_x000a_GE0229_x000a_GE0321_x000a_GE0322_x000a_GE0326"/>
    <s v="FR-500-GE-0199-2022"/>
    <s v="N/A"/>
    <s v="Suministro de materiales y elementos de protección eléctrica para ser instalados en redes y subestaciones de energía"/>
    <n v="499985714"/>
    <m/>
    <s v="900-IP-0390-2022"/>
    <s v="IP-"/>
    <n v="202203887"/>
    <m/>
    <s v="N/A"/>
    <s v="N/A"/>
    <s v="N/A"/>
    <x v="2"/>
    <s v="JULIETA ORTIZ"/>
    <d v="2022-07-01T00:00:00"/>
    <e v="#VALUE!"/>
    <e v="#VALUE!"/>
    <s v="NO"/>
    <s v="Devuelto"/>
    <x v="2"/>
    <m/>
    <s v="18 DE JULIO SE DEVOLVIO AL AREA  POR EL BAJO PRSUPUESTO Y EL ALZA DEL DÓLAR"/>
    <d v="2022-07-19T00:00:00"/>
    <x v="5"/>
    <s v="jul"/>
    <n v="18"/>
    <n v="18"/>
    <m/>
    <s v="FUNCIONAMIENTO_x000a_INVERSION"/>
    <m/>
    <m/>
    <m/>
    <m/>
    <m/>
    <m/>
    <m/>
    <m/>
    <m/>
    <m/>
    <m/>
    <m/>
    <m/>
    <m/>
    <m/>
    <n v="1"/>
    <m/>
    <m/>
  </r>
  <r>
    <n v="348"/>
    <s v="0391"/>
    <s v="GUENAA"/>
    <d v="2022-07-05T00:00:00"/>
    <x v="7"/>
    <s v="GAA0054"/>
    <s v="FR-300-GAA-0176-2022"/>
    <s v="N/A"/>
    <s v="Actualizar el modelo de nivel económico de pérdidas y planificar la fase III de la Gestión de Recuperación de Agua en Macrosectores"/>
    <n v="499608410"/>
    <s v="4 MESES"/>
    <s v="900-IP-0391-2022"/>
    <m/>
    <n v="202203017"/>
    <n v="499608410"/>
    <s v="N/A"/>
    <s v="N/A"/>
    <s v="N/A"/>
    <x v="2"/>
    <s v="LINA ECHAVARRIA"/>
    <d v="2022-07-07T00:00:00"/>
    <n v="71"/>
    <n v="69"/>
    <s v="SI"/>
    <s v="Entregado al area"/>
    <x v="1"/>
    <s v="1 DE AGOSTO EN APROBACION DE POLIZAS"/>
    <m/>
    <d v="2022-08-02T00:00:00"/>
    <x v="1"/>
    <m/>
    <n v="28"/>
    <n v="26"/>
    <s v="G"/>
    <s v="INVERSION"/>
    <s v="300-AO-2040-2022"/>
    <d v="2022-07-21T00:00:00"/>
    <n v="497000000"/>
    <s v="GARZON SALINAS ASOCIADAS SAS"/>
    <n v="202207205"/>
    <n v="2608410"/>
    <m/>
    <m/>
    <m/>
    <m/>
    <m/>
    <s v="CALI"/>
    <s v="LOCAL"/>
    <s v="UNIDAD DE PROSPECTIVA Y DESARROLLO DE NEGOCIOS"/>
    <n v="5.2209089114412625E-3"/>
    <n v="1"/>
    <n v="1"/>
    <n v="20"/>
  </r>
  <r>
    <n v="349"/>
    <s v="0392"/>
    <s v="GUENAA"/>
    <d v="2022-07-05T00:00:00"/>
    <x v="7"/>
    <s v="GAA0277"/>
    <s v="FR-300-GAA-0054-2022"/>
    <s v="N/A"/>
    <s v="Compra de cartas graficas circulares para registradores ref 4686 x 100 UND"/>
    <n v="4996810"/>
    <s v="28 de noviembre 2022"/>
    <s v="900-IP-0392-2022"/>
    <m/>
    <n v="202200780"/>
    <n v="4996810"/>
    <s v="N/A"/>
    <s v="N/A"/>
    <s v="N/A"/>
    <x v="2"/>
    <s v="ANA MARIA GIL"/>
    <d v="2022-07-05T00:00:00"/>
    <e v="#VALUE!"/>
    <e v="#VALUE!"/>
    <s v="SI"/>
    <s v="Entregado al area"/>
    <x v="1"/>
    <s v="2 DE AGOSTO EN EVALUACION DE LOS SUBSANABLES 4 DE AGOSTO EN ACEPTACION DE LA OFERTA"/>
    <s v="ERROR EN EL NUMERO DE LA IMPUTACION PRESUPUESTAL, ES NECESARIO HACER EL OTRO SI PARA SACAR EL RP"/>
    <d v="2022-09-13T00:00:00"/>
    <x v="11"/>
    <m/>
    <n v="70"/>
    <n v="70"/>
    <s v="G"/>
    <s v="FUNCIONAMIENTO"/>
    <s v="300-AO-2078-2022"/>
    <d v="2022-08-02T00:00:00"/>
    <n v="4996810"/>
    <s v="QUIMPORT LIMITADA"/>
    <n v="202207741"/>
    <n v="0"/>
    <m/>
    <m/>
    <m/>
    <m/>
    <m/>
    <s v="CALI"/>
    <s v="LOCAL"/>
    <s v="UNIDAD DE DISTRIBUCIÓN"/>
    <n v="0"/>
    <n v="1"/>
    <n v="1"/>
    <n v="18"/>
  </r>
  <r>
    <n v="350"/>
    <s v="0393"/>
    <s v="GUENAA"/>
    <d v="2022-07-05T00:00:00"/>
    <x v="7"/>
    <s v="GAA0690_x000a_GAA0691"/>
    <s v="FR-300-GAA-0181-2022"/>
    <s v="N/A"/>
    <s v="Suministro de reactivos y materiales para realizar ensayos microbiológicos en los Laboratorios de Ensayos de la UENAA"/>
    <n v="117518450"/>
    <s v="28 DE NOVIEMBRE 2022"/>
    <s v="900-IP-0396-2022"/>
    <m/>
    <s v="202202247_x000a_202202249"/>
    <n v="117518450"/>
    <s v="N/A"/>
    <s v="N/A"/>
    <s v="N/A"/>
    <x v="2"/>
    <s v="JULIO GARCIA"/>
    <d v="2022-08-12T00:00:00"/>
    <e v="#VALUE!"/>
    <e v="#VALUE!"/>
    <s v="SI"/>
    <s v="Entregado al area"/>
    <x v="1"/>
    <s v="1 DE AGOSTO EN ELABORACION DE FPA E INVITACION, SE DEMORO PORQUE TUVIERON QUE CAMBIAR EL CDP POR INCREMENTO DEL VALOR DEL DOLAR._x000a_12 de agosto reasignado a julio ernesto porque Adalberto sale a vacaciones"/>
    <s v="SE SOLICITO A VIAGNERY LA FIRMA DE LA FICHA DE RQUERIMIENTO PARA AVANZAR Y QUE GESTIONE EL FORMULARIO DE PRECIOS Y CANTIDADES."/>
    <d v="2022-09-09T00:00:00"/>
    <x v="11"/>
    <m/>
    <n v="66"/>
    <n v="28"/>
    <s v="C"/>
    <s v="FUNCIONAMIENTO"/>
    <s v="300-AO-2223-2022"/>
    <d v="2022-08-31T00:00:00"/>
    <n v="117518450"/>
    <s v="AQUALAB SAS"/>
    <n v="202208247"/>
    <n v="0"/>
    <m/>
    <m/>
    <m/>
    <m/>
    <m/>
    <s v="BOGOTA"/>
    <s v="NACIONAL"/>
    <s v="LABORATORIO DE AGUA POTABLE"/>
    <n v="0"/>
    <n v="1"/>
    <n v="1"/>
    <n v="48"/>
  </r>
  <r>
    <n v="351"/>
    <s v="0394"/>
    <s v="GUENAA"/>
    <d v="2022-07-05T00:00:00"/>
    <x v="7"/>
    <s v="GAA0090"/>
    <s v="FR-300-GAA-0182-2022"/>
    <s v="N/A"/>
    <s v="Realizar ensayos de sustancias de interés sanitario a muestras de agua cruda, tratada provenientes de las Plantas de Potabilización y de la red de distribución de EMCALI EICE ESP"/>
    <n v="187037566"/>
    <s v="90 DIAS"/>
    <s v="900-IP-0394-2022"/>
    <s v="IP-"/>
    <n v="202202471"/>
    <n v="187037566"/>
    <s v="N/A"/>
    <s v="N/A"/>
    <s v="N/A"/>
    <x v="2"/>
    <s v="ANA MARIA GIL"/>
    <d v="2022-08-04T00:00:00"/>
    <e v="#VALUE!"/>
    <e v="#VALUE!"/>
    <s v="SI"/>
    <s v="Cerrado"/>
    <x v="0"/>
    <d v="2022-12-30T00:00:00"/>
    <s v="18 de julio en elaboracion de la fpa e invitacion_x000a_2 de agosto encotizaciones nuevamente porque el ganador anterior desistio  4 DE AGOSTO REASIGNADO A ANA MARIA GIL _x000a_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_x000a_28 DE SEPTIEMBRE EN OTRO SI PARA AMPLAICION DEL PLAZO"/>
    <d v="2022-12-28T00:00:00"/>
    <x v="5"/>
    <s v="dic"/>
    <n v="176"/>
    <n v="146"/>
    <s v="G"/>
    <s v="FUNCIONAMIENTO"/>
    <s v="300-AO-2338-2022"/>
    <d v="2022-09-15T00:00:00"/>
    <n v="185028136"/>
    <s v="SGS COLOMBIA SAS"/>
    <n v="202208528"/>
    <n v="2009430"/>
    <m/>
    <s v="BOGOTA"/>
    <s v="NACIONAL"/>
    <m/>
    <m/>
    <m/>
    <m/>
    <m/>
    <m/>
    <n v="1"/>
    <m/>
    <m/>
  </r>
  <r>
    <n v="352"/>
    <s v="0395"/>
    <s v="GUENAA"/>
    <d v="2022-07-05T00:00:00"/>
    <x v="7"/>
    <s v="GAA0688_x000a_GAA0681"/>
    <s v="FR-300-GAA-0183-2022"/>
    <s v="N/A"/>
    <s v="Realizar mantenimiento a las cabinas y sistemas de extracción de los laboratorios de ensayos de la UENAA"/>
    <n v="22999999"/>
    <s v="90 DIAS"/>
    <s v="900-IP-395-2022"/>
    <m/>
    <s v="202202244_x000a_202202236"/>
    <n v="22999999"/>
    <s v="N/A"/>
    <s v="N/A"/>
    <s v="N/A"/>
    <x v="2"/>
    <s v="ESTEFANIA SANCHEZ"/>
    <d v="2022-08-08T00:00:00"/>
    <n v="126"/>
    <n v="92"/>
    <s v="SI"/>
    <s v="Entregado al area"/>
    <x v="1"/>
    <s v="28 DE SEPTIEMBRE EN SOLCIITUD DE POLIZAS"/>
    <m/>
    <d v="2022-10-04T00:00:00"/>
    <x v="12"/>
    <n v="91"/>
    <m/>
    <n v="57"/>
    <s v="G"/>
    <s v="FUNCIONAMIENTO"/>
    <s v="300-AO-2325-2022"/>
    <d v="2022-09-15T00:00:00"/>
    <n v="22999999"/>
    <s v="AIRCO SAS"/>
    <n v="202208492"/>
    <n v="0"/>
    <s v="CALI"/>
    <s v="LOCAL"/>
    <m/>
    <m/>
    <m/>
    <m/>
    <m/>
    <m/>
    <n v="0"/>
    <n v="1"/>
    <n v="1"/>
    <n v="65"/>
  </r>
  <r>
    <n v="353"/>
    <s v="0396"/>
    <s v="GUENAA"/>
    <d v="2022-07-05T00:00:00"/>
    <x v="7"/>
    <s v="GAA0689"/>
    <s v="FR-300-GAA-0184-2022"/>
    <s v="N/A"/>
    <s v="Realizar mantenimiento al sistema de control de acceso del laboratorio de aguas residuales."/>
    <n v="6997200"/>
    <m/>
    <s v="900-IP-0393-2022"/>
    <s v="IP-"/>
    <n v="202202245"/>
    <m/>
    <s v="N/A"/>
    <s v="N/A"/>
    <s v="N/A"/>
    <x v="2"/>
    <s v="JESSICA ROJAS"/>
    <d v="2022-08-08T00:00:00"/>
    <e v="#VALUE!"/>
    <e v="#VALUE!"/>
    <m/>
    <s v="Entregado al area"/>
    <x v="1"/>
    <d v="2022-12-26T00:00:00"/>
    <s v="28 DE SEPTIEMBRE EN EVALUACION"/>
    <d v="2022-12-23T00:00:00"/>
    <x v="14"/>
    <s v="dic"/>
    <n v="171"/>
    <n v="137"/>
    <s v="G"/>
    <s v="FUNCIONAMIENTO"/>
    <s v="300-AO-2484-2022"/>
    <d v="2022-12-19T00:00:00"/>
    <n v="6997200"/>
    <s v="SERVICIOS INDUSTRIALES Y DE TECNOLOGIA SAS"/>
    <s v="PM-2100000114"/>
    <n v="0"/>
    <m/>
    <m/>
    <m/>
    <m/>
    <m/>
    <m/>
    <m/>
    <m/>
    <n v="0"/>
    <n v="1"/>
    <n v="1"/>
    <n v="96"/>
  </r>
  <r>
    <n v="354"/>
    <s v="0397"/>
    <s v="GUENAA"/>
    <d v="2022-07-05T00:00:00"/>
    <x v="7"/>
    <s v="GAA0060"/>
    <s v="FR-300-GAA-0185-2022"/>
    <s v="N/A"/>
    <s v="Realizar el mantenimiento a equipos volumétricos y de apoyo del laboratorio aguas residuales"/>
    <n v="24916996"/>
    <s v="90 DIAS"/>
    <s v="900-IP-0397-2022"/>
    <m/>
    <n v="202202238"/>
    <n v="48136532"/>
    <s v="N/A"/>
    <s v="N/A"/>
    <s v="N/A"/>
    <x v="2"/>
    <s v="IVAN ALDANA"/>
    <d v="2022-08-08T00:00:00"/>
    <e v="#VALUE!"/>
    <e v="#VALUE!"/>
    <s v="SI"/>
    <s v="Entregado al area"/>
    <x v="1"/>
    <s v="8 de agosto reasignado a ivan aldana, lo tenia mario"/>
    <m/>
    <d v="2022-09-19T00:00:00"/>
    <x v="11"/>
    <m/>
    <n v="76"/>
    <n v="42"/>
    <s v="G"/>
    <s v="FUNCIONAMIENTO"/>
    <s v="300-AO-2273-2022"/>
    <d v="2022-09-09T00:00:00"/>
    <n v="24916996"/>
    <s v="SERCO  SERVICIO Y SUMINISTRO QUIMICOS LTDA"/>
    <m/>
    <n v="0"/>
    <m/>
    <m/>
    <m/>
    <m/>
    <m/>
    <s v="BOGOTA"/>
    <s v="NACIONAL"/>
    <s v="LABORATORIO DE AGUAS RESIDUALES"/>
    <n v="0"/>
    <n v="1"/>
    <n v="1"/>
    <n v="54"/>
  </r>
  <r>
    <n v="355"/>
    <s v="0398"/>
    <s v="GAGHA"/>
    <d v="2022-07-05T00:00:00"/>
    <x v="7"/>
    <s v="GHA0245"/>
    <s v="FR-800-GHA-0161-2022"/>
    <s v="N/A"/>
    <s v="Adquirir, instalar, configurar, integrar y poner en marcha el sistema de Circuito Cerrado de Televisión CCTV en la Subestación Melendez de EMCALI EICE ESP"/>
    <n v="349318315"/>
    <s v="28 DE NOVIEMBRE 2022"/>
    <s v="900-IP-0398-2022"/>
    <m/>
    <n v="202201121"/>
    <m/>
    <s v="N/A"/>
    <s v="N/A"/>
    <s v="N/A"/>
    <x v="2"/>
    <s v="LEIDY FRANCO"/>
    <d v="2022-07-08T00:00:00"/>
    <n v="71"/>
    <n v="68"/>
    <s v="SI"/>
    <s v="Entregado al area"/>
    <x v="1"/>
    <s v="3 DE AGOSTO EN EVALUACION_x000a_10 de agosto en expedicion de polizas"/>
    <m/>
    <d v="2022-08-18T00:00:00"/>
    <x v="1"/>
    <m/>
    <n v="44"/>
    <n v="41"/>
    <s v="G"/>
    <s v="FUNCIONAMIENTO"/>
    <s v="800-AO-2092-2022"/>
    <d v="2022-08-09T00:00:00"/>
    <n v="346933710"/>
    <s v="SPECTRA INGENIERIA SAS"/>
    <n v="202207726"/>
    <n v="2384605"/>
    <m/>
    <m/>
    <m/>
    <m/>
    <m/>
    <s v="CALI"/>
    <s v="LOCAL"/>
    <s v="UNIDAD SEGURIDAD FISICA Y ELECTRONICA"/>
    <n v="6.8264528299926104E-3"/>
    <n v="0"/>
    <n v="1"/>
    <n v="32"/>
  </r>
  <r>
    <n v="356"/>
    <s v="0399"/>
    <s v="GAGHA"/>
    <d v="2022-07-06T00:00:00"/>
    <x v="7"/>
    <s v="GHA0070"/>
    <s v="FR-800-163-2022"/>
    <s v="N/A"/>
    <s v="compra de papel fotocopia blanco láser tamaño carta y oficio de 75gramos con logo de EMCALI y sin logo "/>
    <n v="211328054"/>
    <s v="28 DE NOVIEMBRE 2022"/>
    <s v="900-IP-0399-2022"/>
    <m/>
    <n v="202203488"/>
    <m/>
    <s v="N/A"/>
    <s v="N/A"/>
    <s v="N/A"/>
    <x v="2"/>
    <s v="LINA ECHAVARRIA"/>
    <d v="2022-07-19T00:00:00"/>
    <n v="70"/>
    <n v="57"/>
    <s v="SI"/>
    <s v="Entregado al area"/>
    <x v="1"/>
    <s v="1 DE AGOSTO EN RECEPCION DE OFERTAS_x000a_18 de agosto en recepcion de ofertas"/>
    <m/>
    <d v="2022-08-23T00:00:00"/>
    <x v="1"/>
    <m/>
    <n v="48"/>
    <n v="35"/>
    <s v="G"/>
    <s v="FUNCIONAMIENTO"/>
    <s v="800-AO-2155-2022"/>
    <d v="2022-08-16T00:00:00"/>
    <n v="211328054"/>
    <s v="DISPAPELES SAS"/>
    <n v="202207862"/>
    <n v="0"/>
    <m/>
    <m/>
    <m/>
    <m/>
    <m/>
    <s v="CALI"/>
    <s v="LOCAL"/>
    <s v="UNIDAD DE GESTIÓN ADMINISTRATIVA"/>
    <n v="0"/>
    <n v="0"/>
    <n v="1"/>
    <n v="34"/>
  </r>
  <r>
    <n v="357"/>
    <s v="0400"/>
    <s v="GUENAA"/>
    <d v="2022-07-06T00:00:00"/>
    <x v="7"/>
    <s v="GAA0747"/>
    <s v="FR-300-GAA-0187-2022"/>
    <s v="N/A"/>
    <s v="Suministro de rejillas para sumideros en polimero de 8 huecos"/>
    <n v="119114240"/>
    <s v="28 DE NOVIEMBRE 2022"/>
    <s v="900-IP-0400-2022"/>
    <m/>
    <n v="202201931"/>
    <n v="119537500"/>
    <s v="N/A"/>
    <s v="N/A"/>
    <s v="N/A"/>
    <x v="2"/>
    <s v="JUAN DAVID GOMEZ"/>
    <d v="2022-07-08T00:00:00"/>
    <e v="#VALUE!"/>
    <e v="#VALUE!"/>
    <s v="SI"/>
    <s v="Entregado al area"/>
    <x v="1"/>
    <s v="1 DE AGOSTO EN ELABORACION DE FPA E INVITACION. 5 DE AGOSTO EN REVISION DE FPA E INVITACION."/>
    <m/>
    <d v="2022-09-20T00:00:00"/>
    <x v="11"/>
    <m/>
    <n v="76"/>
    <n v="74"/>
    <s v="G"/>
    <s v="FUNCIONAMIENTO"/>
    <s v="300-AO-2253-2022"/>
    <d v="2022-09-06T00:00:00"/>
    <n v="119114240"/>
    <s v="PLASTYCONS SAS"/>
    <n v="202208343"/>
    <n v="0"/>
    <m/>
    <m/>
    <m/>
    <m/>
    <m/>
    <s v="CALI"/>
    <s v="LOCAL"/>
    <s v="ACUEDUCTO Y ALCANTARILLADO "/>
    <n v="0"/>
    <n v="1"/>
    <n v="1"/>
    <n v="41"/>
  </r>
  <r>
    <n v="358"/>
    <s v="0401"/>
    <s v="GUENAA"/>
    <d v="2022-07-06T00:00:00"/>
    <x v="7"/>
    <s v="GAA0702_x000a_GAA0701"/>
    <s v="FR-300-GAA-0186-2022"/>
    <s v="N/A"/>
    <s v="Calificación y/o validación del equipamiento de los laboratorios de los ensayos de UENAA"/>
    <n v="22601670"/>
    <s v="90 DIAS"/>
    <s v="900-IP-0401-2022"/>
    <m/>
    <s v="202202459"/>
    <n v="22601670"/>
    <s v="N/A"/>
    <s v="N/A"/>
    <s v="N/A"/>
    <x v="2"/>
    <s v="ADALBERTO VALENCIA"/>
    <d v="2022-08-08T00:00:00"/>
    <e v="#VALUE!"/>
    <e v="#VALUE!"/>
    <s v="SI"/>
    <s v="Entregado al area"/>
    <x v="1"/>
    <m/>
    <m/>
    <d v="2022-09-20T00:00:00"/>
    <x v="11"/>
    <m/>
    <n v="76"/>
    <n v="43"/>
    <s v="G"/>
    <s v="FUNCIONAMIENTO"/>
    <s v="300-AO-2292-2022"/>
    <d v="2022-09-14T00:00:00"/>
    <n v="22601670"/>
    <s v="FABIAN ANDRES ARAGON LOPEZ"/>
    <n v="202208424"/>
    <n v="0"/>
    <m/>
    <m/>
    <m/>
    <m/>
    <m/>
    <s v="CALI"/>
    <s v="LOCAL"/>
    <s v="ACUEDUCTO Y ALCANTARILLADO "/>
    <n v="0"/>
    <n v="1"/>
    <n v="1"/>
    <n v="51"/>
  </r>
  <r>
    <n v="359"/>
    <s v="0402"/>
    <s v="GUENAA"/>
    <d v="2022-07-06T00:00:00"/>
    <x v="7"/>
    <s v="GAA0240"/>
    <s v="FR-300-GAA-0179-2022"/>
    <s v="N/A"/>
    <s v="Realizar la fabricación y suministro de un carro tanque o camion cisterna para el transporte de cloro liquido de la planta de potabilización puerto mallarino "/>
    <n v="445655000"/>
    <m/>
    <s v="900-IP-0402-2022"/>
    <s v="IP-"/>
    <s v="202202967"/>
    <m/>
    <s v="N/A"/>
    <s v="N/A"/>
    <s v="N/A"/>
    <x v="2"/>
    <s v="LINA ECHAVARRIA"/>
    <d v="2022-07-19T00:00:00"/>
    <e v="#VALUE!"/>
    <e v="#VALUE!"/>
    <s v="NO"/>
    <s v="Devuelto"/>
    <x v="2"/>
    <m/>
    <s v="19 de julio re asignado a leidy franco_x000a_1 DE AGOSTO VUELVE A LINA ECHAVARRIA"/>
    <d v="2022-08-01T00:00:00"/>
    <x v="5"/>
    <s v="ago"/>
    <n v="26"/>
    <n v="13"/>
    <s v="G"/>
    <s v="INVERSION"/>
    <m/>
    <m/>
    <m/>
    <m/>
    <m/>
    <m/>
    <m/>
    <m/>
    <m/>
    <m/>
    <m/>
    <m/>
    <m/>
    <m/>
    <m/>
    <n v="1"/>
    <m/>
    <m/>
  </r>
  <r>
    <n v="360"/>
    <s v="0403"/>
    <s v="GAGHA"/>
    <d v="2022-07-06T00:00:00"/>
    <x v="7"/>
    <s v="GHA0050_x000a_GHA0051"/>
    <s v="FR-800-GAGHA-162-2022"/>
    <s v="N/A"/>
    <s v="Suministrar elementos de proteccion personal para las diferentes actividades realizadas por los servidores públicos de EMCALI EICE ESP"/>
    <n v="1155586097"/>
    <m/>
    <s v="900-IPU-0403-2022"/>
    <s v="IPU"/>
    <s v="202202880"/>
    <m/>
    <s v="N/A"/>
    <s v="N/A"/>
    <s v="N/A"/>
    <x v="0"/>
    <s v="LINA ECHAVARRIA"/>
    <d v="2022-07-19T00:00:00"/>
    <e v="#VALUE!"/>
    <e v="#VALUE!"/>
    <m/>
    <s v="Entregado al area"/>
    <x v="1"/>
    <d v="2022-11-30T00:00:00"/>
    <s v="1 DE AGOSTO EN ELABORACION DE LA CC_x000a_3 de agosto para revision de la fpa por parte de silvia_x000a_18 de agosto en recepcion de ofertas_x000a_28 DE SEPTIEMBRE EN EVALUACION SOBRE 1"/>
    <d v="2022-12-05T00:00:00"/>
    <x v="14"/>
    <s v="dic"/>
    <n v="152"/>
    <n v="139"/>
    <s v="G"/>
    <s v="FUNCIONAMIENTO"/>
    <s v="800-AO-2432-2022"/>
    <d v="2022-11-29T00:00:00"/>
    <n v="887895578"/>
    <s v="SURAMERICANA DE GUANTES SAS"/>
    <s v="AB2300002952"/>
    <n v="267690519"/>
    <m/>
    <m/>
    <m/>
    <m/>
    <m/>
    <m/>
    <m/>
    <m/>
    <n v="0.23164913431802911"/>
    <n v="0"/>
    <n v="2"/>
    <n v="152"/>
  </r>
  <r>
    <n v="361"/>
    <s v="0404"/>
    <s v="GUENAA"/>
    <d v="2022-07-07T00:00:00"/>
    <x v="7"/>
    <s v="GAA0657"/>
    <s v="FR-300-GAA-0092-2022"/>
    <s v="N/A"/>
    <s v="Consultoria para la formulación del plan de gestión del plan de manejo para vertimientos (PGRMV) de la planta de tratamiento de aguas residuales cañaveralejo - PTAR-C de EMCALI EICE ESP"/>
    <n v="880000000"/>
    <m/>
    <s v="900-IP-0404-2022"/>
    <m/>
    <s v="202202407"/>
    <m/>
    <s v="N/A"/>
    <s v="N/A"/>
    <s v="N/A"/>
    <x v="2"/>
    <s v="PAOLA BELTRAN"/>
    <d v="2022-08-03T00:00:00"/>
    <e v="#VALUE!"/>
    <e v="#VALUE!"/>
    <m/>
    <s v="Solicitud de Polizas y Rp"/>
    <x v="1"/>
    <s v="18 de julio en solicitud de conceptos_x000a_2 de agosto se va a reasignar el proceso A OTRO GESTOR DE AGOSTO ASIGNADO A PAOLA Y ESPERANDO AJUSTES DE LAS ESPECIFICACIONES TECNICAS Y FR_x000a_28 DE SEPTIEMBRE SOLICITUD DE POLIZAS"/>
    <m/>
    <d v="2022-09-02T00:00:00"/>
    <x v="12"/>
    <m/>
    <n v="57"/>
    <n v="30"/>
    <s v="B"/>
    <s v="FUNCIONAMIENTO"/>
    <s v="300-AO-2285-2022"/>
    <d v="2022-09-14T00:00:00"/>
    <n v="879780000"/>
    <s v="FAMINDUSTRIAL ASESORES AMBIENTALES SAS"/>
    <m/>
    <n v="220000"/>
    <m/>
    <m/>
    <m/>
    <m/>
    <m/>
    <m/>
    <m/>
    <s v="ACUEDUCTO Y ALCANTARILLADO "/>
    <n v="2.5000000000000001E-4"/>
    <n v="1"/>
    <n v="1"/>
    <n v="41"/>
  </r>
  <r>
    <n v="362"/>
    <s v="0405"/>
    <s v="GAGHA"/>
    <d v="2022-07-07T00:00:00"/>
    <x v="7"/>
    <s v="GHA0274"/>
    <s v="FR-800-GHA-0164-2022"/>
    <s v="N/A"/>
    <s v="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
    <n v="420000000"/>
    <m/>
    <s v="N/A"/>
    <m/>
    <n v="202204127"/>
    <m/>
    <s v="N/A"/>
    <s v="N/A"/>
    <s v="N/A"/>
    <x v="1"/>
    <s v="ESTEFANIA SANCHEZ"/>
    <d v="2022-07-08T00:00:00"/>
    <n v="69"/>
    <n v="68"/>
    <s v="SI"/>
    <s v="Entregado al area"/>
    <x v="1"/>
    <s v="2 de agosto pata numeracion de la aceptacion"/>
    <m/>
    <d v="2022-08-11T00:00:00"/>
    <x v="1"/>
    <m/>
    <n v="35"/>
    <n v="34"/>
    <s v="N/A"/>
    <s v="FUNCIONAMIENTO"/>
    <s v="CMA-1913-2021-800-AO-2079-2022"/>
    <d v="2022-08-04T00:00:00"/>
    <n v="398896579"/>
    <s v="GUSTAVO ADOLFO TORRES DUARTE"/>
    <n v="202207674"/>
    <n v="21103421"/>
    <m/>
    <m/>
    <m/>
    <m/>
    <m/>
    <m/>
    <m/>
    <s v="UNIDAD DE GESTIÓN ADMINISTRATIVA"/>
    <n v="5.0246240476190474E-2"/>
    <n v="0"/>
    <n v="0"/>
    <n v="35"/>
  </r>
  <r>
    <n v="363"/>
    <s v="0406"/>
    <s v="GAGHA"/>
    <d v="2022-07-08T00:00:00"/>
    <x v="7"/>
    <s v="GAA0750"/>
    <s v="FR-300-GAA-0075-2022"/>
    <s v="N/A"/>
    <s v="Suministro de lubricantes para todas las estaciones de bombeo de aguas lluvias y/o residuales"/>
    <n v="52771303"/>
    <m/>
    <s v="900-IP-0406-2022"/>
    <s v="IP-"/>
    <n v="202201835"/>
    <m/>
    <s v="N/A"/>
    <s v="N/A"/>
    <s v="N/A"/>
    <x v="2"/>
    <s v="JULIO GARCIA"/>
    <d v="2022-07-12T00:00:00"/>
    <e v="#VALUE!"/>
    <e v="#VALUE!"/>
    <s v="NO"/>
    <s v="Devuelto"/>
    <x v="2"/>
    <m/>
    <s v="2 de agosto revision de invitacion y fpa"/>
    <d v="2022-08-11T00:00:00"/>
    <x v="5"/>
    <s v="ago"/>
    <n v="34"/>
    <n v="30"/>
    <m/>
    <s v="FUNCIONAMIENTO"/>
    <m/>
    <m/>
    <m/>
    <m/>
    <m/>
    <m/>
    <m/>
    <m/>
    <m/>
    <m/>
    <m/>
    <m/>
    <m/>
    <m/>
    <m/>
    <n v="0"/>
    <m/>
    <m/>
  </r>
  <r>
    <n v="364"/>
    <s v="0407"/>
    <s v="GUENTIC"/>
    <d v="2022-07-08T00:00:00"/>
    <x v="7"/>
    <s v="GT0197"/>
    <s v="FR-400-GT-0168-2022"/>
    <s v="N/A"/>
    <s v="Suministro de cajas de distribución óptica para redes FTTH, requeridas para garantizar los servicios prestados por la GUENTIC. De acuerdo al formulario de cantidades y precios y a los requisitos técnicos"/>
    <n v="224621449"/>
    <m/>
    <s v="900-IP-0407-2022"/>
    <s v="IP-"/>
    <s v="202202446_x000a_202202438"/>
    <m/>
    <s v="N/A"/>
    <s v="N/A"/>
    <s v="N/A"/>
    <x v="2"/>
    <s v="JULIO GARCIA"/>
    <d v="2022-07-12T00:00:00"/>
    <e v="#VALUE!"/>
    <e v="#VALUE!"/>
    <s v="NO"/>
    <s v="Devuelto"/>
    <x v="2"/>
    <d v="2022-11-12T00:00:00"/>
    <s v="2 de agosto en cotizaciones Pendiente firma desde el 8 de noviembre de 2022 por parte del Gerente GAE (E ) para devolución del proceso al área_x000a_29 DE SEPTIEMBRE SE DEVOLVERA AL AREA_x000a_Pendiente firma desde el 8 de noviembre de 2022 por parte del Gerente GAE (E ) para devolución del proceso al área"/>
    <d v="2022-11-08T00:00:00"/>
    <x v="5"/>
    <s v="nov"/>
    <n v="123"/>
    <n v="119"/>
    <m/>
    <s v="FUNCIONAMIENTO"/>
    <m/>
    <m/>
    <m/>
    <m/>
    <m/>
    <m/>
    <m/>
    <m/>
    <m/>
    <m/>
    <m/>
    <m/>
    <m/>
    <m/>
    <m/>
    <n v="0"/>
    <m/>
    <m/>
  </r>
  <r>
    <n v="365"/>
    <s v="0408"/>
    <s v="GUENT"/>
    <d v="2022-07-08T00:00:00"/>
    <x v="7"/>
    <s v="GT0234"/>
    <s v="FR-400-GT-0186-2022"/>
    <s v="N/A"/>
    <s v="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
    <n v="496515600"/>
    <s v="30 DIAS"/>
    <s v="900-IP-0408-2022"/>
    <m/>
    <n v="202203853"/>
    <n v="500000000"/>
    <s v="N/A"/>
    <s v="N/A"/>
    <s v="N/A"/>
    <x v="2"/>
    <s v="LINA ECHAVARRIA"/>
    <d v="2022-07-22T00:00:00"/>
    <e v="#VALUE!"/>
    <e v="#VALUE!"/>
    <s v="SI"/>
    <s v="Entregado al area"/>
    <x v="1"/>
    <s v="22 DE JULIO REASIGNADO A LINA ECHAVARRIA"/>
    <m/>
    <d v="2022-09-22T00:00:00"/>
    <x v="11"/>
    <m/>
    <n v="76"/>
    <n v="62"/>
    <s v="C"/>
    <s v="INVERSION"/>
    <s v="400-AO-2367-2022"/>
    <d v="2022-09-15T00:00:00"/>
    <n v="496372800"/>
    <s v="LATIC SAS"/>
    <n v="202208535"/>
    <n v="142800"/>
    <m/>
    <m/>
    <m/>
    <m/>
    <m/>
    <s v="BOGOTA"/>
    <s v="NACIONAL"/>
    <s v="UNIDAD DE PROSPECTIVA Y DESARROLLO DE NEGOCIOS"/>
    <n v="2.8760425654299681E-4"/>
    <n v="1"/>
    <n v="1"/>
    <n v="54"/>
  </r>
  <r>
    <n v="366"/>
    <s v="0409"/>
    <s v="GUENE"/>
    <d v="2022-07-11T00:00:00"/>
    <x v="7"/>
    <s v="GE0337"/>
    <s v="FR-500-GE-0190-2022"/>
    <s v="N/A"/>
    <s v="Mantenimiento general de transformadores de potencia de las Subestaciones de Energía"/>
    <n v="535500000"/>
    <s v="120 DIAS"/>
    <s v="900-IP-0409-2022"/>
    <m/>
    <n v="202203018"/>
    <n v="535500000"/>
    <s v="N/A"/>
    <s v="N/A"/>
    <s v="N/A"/>
    <x v="2"/>
    <s v="JULIO GARCIA"/>
    <d v="2022-07-11T00:00:00"/>
    <n v="-44753"/>
    <n v="-44753"/>
    <s v="SI"/>
    <s v="Entregado al area"/>
    <x v="1"/>
    <m/>
    <m/>
    <d v="2022-07-26T00:00:00"/>
    <x v="10"/>
    <m/>
    <n v="15"/>
    <n v="15"/>
    <s v="G"/>
    <s v="FUNCIONAMIENTO"/>
    <s v="500-AO-2023-2022"/>
    <d v="2022-07-19T00:00:00"/>
    <n v="474686280"/>
    <s v="CONFECCIONES ELECTRICAS SAS EN REORGANIZACION"/>
    <m/>
    <n v="60813720"/>
    <m/>
    <m/>
    <m/>
    <m/>
    <m/>
    <m/>
    <m/>
    <s v="UNIDAD DE MANTENIMIENTO"/>
    <n v="0.11356436974789916"/>
    <n v="1"/>
    <n v="1"/>
    <n v="11"/>
  </r>
  <r>
    <n v="367"/>
    <s v="0410"/>
    <s v="GUENT"/>
    <d v="2022-07-12T00:00:00"/>
    <x v="7"/>
    <s v="GT0233"/>
    <s v="FR-400-GT-0190-2022"/>
    <s v="N/A"/>
    <s v="Suministro de cubiertas de empalme, materiales de reentradas y accesorios para empalmería de cables multipares con protección de barrera contra humedad (BCH) de uso en la red externa en la operación y mantenimiento de la GUENTIC."/>
    <n v="240328116"/>
    <s v="28 DE NOVIEMBRE DE 2022"/>
    <s v="900-IP-0410-2022"/>
    <m/>
    <n v="202202447"/>
    <m/>
    <s v="N/A"/>
    <s v="N/A"/>
    <s v="N/A"/>
    <x v="2"/>
    <s v="JULIETA ORTIZ"/>
    <d v="2022-07-19T00:00:00"/>
    <e v="#VALUE!"/>
    <e v="#VALUE!"/>
    <s v="SI"/>
    <s v="Entregado al area"/>
    <x v="1"/>
    <s v="26 DE ULIO SE REASIGNA PROCESO A JULIETA, ANTES LO TENIA JULIO GARCIA_x000a_2 DE AGOSTO EN COTIZACIONES, nuevamente no cotizo ningun proveedor"/>
    <s v="Nuevamente no cotizo ningun proveedor, se solicito a Harold Ibarra datos de proveedores. Pendiente en categorizar bien el procesos. Se invitara a Matrix telcom"/>
    <d v="2022-09-13T00:00:00"/>
    <x v="11"/>
    <m/>
    <n v="63"/>
    <n v="56"/>
    <s v="G"/>
    <s v="FUNCIONAMIENTO"/>
    <s v="400-AO-2249-2022"/>
    <d v="2022-09-05T00:00:00"/>
    <n v="239138116"/>
    <s v="MATRIX TELCOM LTDA"/>
    <n v="202208345"/>
    <n v="1190000"/>
    <m/>
    <m/>
    <m/>
    <m/>
    <m/>
    <s v="BOGOTA"/>
    <s v="NACIONAL"/>
    <s v="SUBGERENCIA OPERATIVA"/>
    <n v="4.9515638028802258E-3"/>
    <n v="1"/>
    <n v="1"/>
    <n v="45"/>
  </r>
  <r>
    <n v="368"/>
    <s v="0411"/>
    <s v="GUENAA"/>
    <d v="2022-07-12T00:00:00"/>
    <x v="7"/>
    <s v="GAA0738"/>
    <s v="FR-300-GAA-0188-2022"/>
    <s v="N/A"/>
    <s v="Suministro e Instalación de Bombas Centrifugas de Accionamiento Magnetico para el sistema SCRUBBER de la PTAP Puerto Mallarino"/>
    <n v="49623000"/>
    <s v="60 DIAS"/>
    <s v="900-IP-0411-2022"/>
    <m/>
    <n v="202204421"/>
    <m/>
    <s v="N/A"/>
    <s v="N/A"/>
    <s v="N/A"/>
    <x v="2"/>
    <s v="JUAN DAVID GOMEZ"/>
    <d v="2022-07-19T00:00:00"/>
    <e v="#VALUE!"/>
    <e v="#VALUE!"/>
    <s v="SI"/>
    <s v="Entregado al area"/>
    <x v="1"/>
    <s v="1 de agosto en solciitud de conceptos_x000a_28 DE SEPTIEMBRE 2022 APROBACION DE POLIZAS"/>
    <s v="SE TIENE QUE REGISTRAR EL PROVEEDOR GANADOR, LA ENRCARGADA ES ELIZA."/>
    <d v="2022-09-29T00:00:00"/>
    <x v="11"/>
    <m/>
    <n v="79"/>
    <n v="72"/>
    <s v="G"/>
    <s v="INVERSION"/>
    <s v="300-AO-2340-2022"/>
    <d v="2022-09-15T00:00:00"/>
    <n v="49623000"/>
    <s v="NOVATEC FLUID SYSTEM SA"/>
    <n v="202208532"/>
    <n v="0"/>
    <m/>
    <m/>
    <m/>
    <m/>
    <m/>
    <m/>
    <m/>
    <s v="UNIDAD DE MANTENIMIENTO"/>
    <n v="0"/>
    <n v="1"/>
    <n v="1"/>
    <n v="33"/>
  </r>
  <r>
    <n v="369"/>
    <s v="0412"/>
    <s v="GUENAA"/>
    <d v="2022-07-13T00:00:00"/>
    <x v="7"/>
    <s v="GAA0755"/>
    <s v="FR-300-GAA-0190-2022"/>
    <s v="300-CMA-1243-2020"/>
    <s v="Suministro de Cloro, para ser utilizado en el tratamiento de agua potable para consumo humano"/>
    <n v="4194300480"/>
    <s v="16 de enero 2023"/>
    <s v="N/A"/>
    <m/>
    <n v="202203114"/>
    <m/>
    <s v="N/A"/>
    <s v="N/A"/>
    <s v="N/A"/>
    <x v="1"/>
    <s v="AYDEE OVALLE"/>
    <d v="2022-07-17T00:00:00"/>
    <n v="63"/>
    <n v="59"/>
    <s v="SI"/>
    <s v="Entregado al area"/>
    <x v="1"/>
    <s v="18 de julio en elaboracion de la fpa_x000a_2 DE AGOSTO EN ESPRA DE LAS POLIZAS"/>
    <m/>
    <d v="2022-08-04T00:00:00"/>
    <x v="1"/>
    <m/>
    <n v="22"/>
    <n v="18"/>
    <s v="N/A"/>
    <s v="OPERACIÓN"/>
    <s v="300-CMA-1243-2020/300-AO-2071-2022"/>
    <d v="2022-07-29T00:00:00"/>
    <n v="4192071840"/>
    <s v="QUIMPAC DE COLOMBIA SA"/>
    <n v="202207329"/>
    <n v="2228640"/>
    <m/>
    <m/>
    <m/>
    <m/>
    <m/>
    <s v="YUMBO"/>
    <s v="MUNICIPAL"/>
    <s v="PRODUCCIÓN DE AGUA POTABLE"/>
    <n v="5.3134962805526033E-4"/>
    <n v="1"/>
    <n v="0"/>
    <n v="22"/>
  </r>
  <r>
    <n v="370"/>
    <s v="0413"/>
    <s v="GUENAA"/>
    <d v="2022-07-13T00:00:00"/>
    <x v="7"/>
    <s v="GAA0758"/>
    <s v="FR-300-GAA-0191-2022"/>
    <s v="300-CMA-1241-2020"/>
    <s v="Suministro de Adsorbente para las Plantas de Tratamiento de Agua Potable Puerto Mallarino, Río Cauca y Río Cali: Carbon Activado "/>
    <n v="1012208288"/>
    <s v="31 DE MARZO 2023"/>
    <s v="N/A"/>
    <m/>
    <n v="202203114"/>
    <n v="1012208288"/>
    <s v="N/A"/>
    <s v="N/A"/>
    <s v="N/A"/>
    <x v="1"/>
    <s v="CENELIA CRUZ"/>
    <d v="2022-07-17T00:00:00"/>
    <e v="#VALUE!"/>
    <e v="#VALUE!"/>
    <s v="SI"/>
    <s v="Entregado al area"/>
    <x v="1"/>
    <s v="1 DE AGOSTO ENR EVISION DEL OTRO SI PARA AJUSTAR LOS PRECIOS"/>
    <m/>
    <d v="2022-09-06T00:00:00"/>
    <x v="11"/>
    <m/>
    <n v="55"/>
    <n v="51"/>
    <s v="N/A"/>
    <s v="OPERACIÓN"/>
    <s v="300-CMA-1241-2020/300-AO-2145-2022"/>
    <d v="2022-08-12T00:00:00"/>
    <n v="1011189796"/>
    <s v="SULFOQUIMICA SA"/>
    <n v="202207811"/>
    <n v="1018492"/>
    <m/>
    <m/>
    <m/>
    <m/>
    <m/>
    <s v="ITAGUI"/>
    <s v="NACIONAL"/>
    <s v="PRODUCCIÓN DE AGUA POTABLE"/>
    <n v="1.0062079238774223E-3"/>
    <n v="1"/>
    <n v="0"/>
    <n v="55"/>
  </r>
  <r>
    <n v="371"/>
    <s v="0414"/>
    <s v="GUENAA"/>
    <d v="2022-07-13T00:00:00"/>
    <x v="7"/>
    <s v="GAA0757"/>
    <s v="FR-300-GAA-0192-2022"/>
    <s v="300-CMA-1246-2020"/>
    <s v="Suministro de Coagulante para las Plantas Río Cauca, Río Cali, La Reforma y L a Rivera: Hidroxicloruro de Aluminio"/>
    <n v="3369600000"/>
    <s v="16 DE ENERO 2023"/>
    <s v="N/A"/>
    <m/>
    <n v="202203114"/>
    <m/>
    <s v="N/A"/>
    <s v="N/A"/>
    <s v="N/A"/>
    <x v="1"/>
    <s v="AYDEE OVALLE"/>
    <d v="2022-07-17T00:00:00"/>
    <n v="-44755"/>
    <n v="-44759"/>
    <s v="SI"/>
    <s v="Entregado al area"/>
    <x v="1"/>
    <s v="18 de julio en aceptacion de oferta"/>
    <m/>
    <d v="2022-07-26T00:00:00"/>
    <x v="10"/>
    <m/>
    <n v="13"/>
    <n v="9"/>
    <s v="N/A"/>
    <s v="OPERACIÓN"/>
    <s v="300-CMA-1246-2020/300-AO-2029-2022"/>
    <d v="2022-07-18T00:00:00"/>
    <n v="3369597431"/>
    <s v="QUIMPAC COLOMBIA SA"/>
    <n v="202207154"/>
    <n v="2569"/>
    <m/>
    <m/>
    <m/>
    <m/>
    <m/>
    <s v="YUMBO"/>
    <s v="LOCAL"/>
    <s v="PRODUCCIÓN DE AGUA POTABLE"/>
    <n v="7.6240503323836655E-7"/>
    <n v="1"/>
    <n v="0"/>
    <n v="13"/>
  </r>
  <r>
    <n v="372"/>
    <s v="0415"/>
    <s v="GAGHA"/>
    <d v="2022-07-13T00:00:00"/>
    <x v="7"/>
    <s v="GHA0254"/>
    <s v="FR-800-GHA-0148-2022"/>
    <s v="N/A"/>
    <s v="Realizar la compra de papel higiénico rollo x 500 mts, como elemento de aseo necesario para EMCALI EICE ESP"/>
    <n v="29083819"/>
    <s v="28 DE NOVIEMBRE 2022"/>
    <s v="900-IP-0415-2022"/>
    <m/>
    <n v="202203026"/>
    <n v="29120000"/>
    <s v="N/A"/>
    <s v="N/A"/>
    <s v="N/A"/>
    <x v="2"/>
    <s v="JHON LARRY "/>
    <d v="2022-07-18T00:00:00"/>
    <e v="#VALUE!"/>
    <e v="#VALUE!"/>
    <s v="SI"/>
    <s v="Entregado al area"/>
    <x v="1"/>
    <s v="2 DE AGOSTO EN SOLICITUD DE CONCEPTOS. 5 DE AGOSTO EN ELABORACION DE FPA E INVITACION_x000a_18 de agosto en invtitacion a ofertar"/>
    <m/>
    <d v="2022-09-21T00:00:00"/>
    <x v="11"/>
    <m/>
    <n v="70"/>
    <n v="65"/>
    <s v="G"/>
    <s v="FUNCIONAMIENTO"/>
    <s v="800-AO-2283-2022"/>
    <d v="2022-09-14T00:00:00"/>
    <n v="21704765"/>
    <s v="DISPAPELES SAS"/>
    <n v="202208415"/>
    <n v="7379054"/>
    <m/>
    <m/>
    <m/>
    <m/>
    <m/>
    <s v="BOGOTA"/>
    <s v="NACIONAL"/>
    <s v="UNIDAD GESTIÓN ADMINISTRATIVA"/>
    <n v="0.25371681758850168"/>
    <n v="0"/>
    <n v="1"/>
    <n v="36"/>
  </r>
  <r>
    <n v="373"/>
    <s v="0416"/>
    <s v="GAGHA"/>
    <d v="2022-07-13T00:00:00"/>
    <x v="7"/>
    <s v="GHA0255_x000a_GHA0256_x000a_GHA0257_x000a_GHA0258_x000a_GHA0259_x000a_GHA0260"/>
    <s v="FR-800-GHA-0165-2022"/>
    <s v="N/A"/>
    <s v="Realizar la compra de un (1) Mini Cargador, una (1) Retroexcavadora y una (1) Excavadora, con las condiciones de entrega requeridas por EMCALI EICE ESP, incluyendo el servicio de diez (10) mantenimientos preventivos para cada equipo"/>
    <n v="2619798708"/>
    <m/>
    <s v="900-IP-0416-2022"/>
    <s v="IP-"/>
    <s v="202202875_x000a_202202796_x000a_202204261_x000a_202202797_x000a_202204262_x000a_202202876_x000a_202202795_x000a_202204260_x000a_202202872"/>
    <m/>
    <s v="N/A"/>
    <s v="N/A"/>
    <s v="N/A"/>
    <x v="2"/>
    <s v="PAOLA BELTRAN"/>
    <d v="2022-10-31T00:00:00"/>
    <e v="#VALUE!"/>
    <e v="#VALUE!"/>
    <s v="SI"/>
    <s v="Adjudicacion"/>
    <x v="1"/>
    <d v="2022-11-29T00:00:00"/>
    <s v="5 DE AGOSTO ENTREGADO  REASIGANDO A LAURA PIMIENTA_x000a_28 DE SEPTIEMBRE EN COTIZACIONES_x000a_24-11-2022, En tramite de Emisión de RP y Emisión de Polizas desde el 23 de noviembre de 2022"/>
    <d v="2022-11-28T00:00:00"/>
    <x v="13"/>
    <s v="nov"/>
    <n v="138"/>
    <n v="28"/>
    <s v="L"/>
    <s v="FUNCIONAMIENTO"/>
    <s v="800-AO-2420-2022"/>
    <s v="23-11-202"/>
    <n v="2619798708"/>
    <s v="GENERAL DE EQUIPOS DE COLOMBIA S.A GECOLSA "/>
    <s v="AB-2300002903"/>
    <n v="0"/>
    <m/>
    <m/>
    <m/>
    <m/>
    <m/>
    <m/>
    <m/>
    <m/>
    <n v="0"/>
    <n v="0"/>
    <n v="1"/>
    <n v="71"/>
  </r>
  <r>
    <n v="374"/>
    <s v="0417"/>
    <s v="GAGHA"/>
    <d v="2022-07-13T00:00:00"/>
    <x v="7"/>
    <s v="GHA0246"/>
    <s v="FR-800-GHA-0171-2022"/>
    <s v="N/A"/>
    <s v="Suministrar insumos para la dotación y redotación de los botiquines ubicados en las sedes, plantas y vehículos del Parque Automotor de EMCALI EICE ESP"/>
    <n v="97226223"/>
    <s v="28 DE NOVIEMBRE 2022"/>
    <s v="900-IP-0417-2022"/>
    <m/>
    <n v="202203963"/>
    <n v="97226223"/>
    <s v="N/A"/>
    <s v="N/A"/>
    <s v="N/A"/>
    <x v="2"/>
    <s v="ANA MARIA GIL"/>
    <d v="2022-08-04T00:00:00"/>
    <n v="63"/>
    <n v="41"/>
    <s v="SI"/>
    <s v="Entregado al area"/>
    <x v="1"/>
    <s v="2 DE AGOSTO EN REVISION DE LA FPA  4 DE AGOSTO EN RECEPCION DE OFERTAS Y REASIGNADO A ANA MARIA GIL 5 DE AGOSTO EN INVITACION A OFERTAR_x000a_18 de agosto en aceptacion de la oferta."/>
    <s v="SE REQUIERE MODIFICAR LA INVITACION"/>
    <d v="2022-08-29T00:00:00"/>
    <x v="1"/>
    <m/>
    <n v="47"/>
    <n v="25"/>
    <s v="G"/>
    <s v="FUNCIONAMIENTO"/>
    <s v="800-AO-2161-2022"/>
    <d v="2022-08-16T00:00:00"/>
    <n v="93140500"/>
    <s v="CRUZ ROJA COLOMBIANA SECCIONAL VALLE DEL CAUCA"/>
    <n v="202207950"/>
    <n v="4085723"/>
    <m/>
    <m/>
    <m/>
    <m/>
    <m/>
    <s v="CALI"/>
    <s v="LOCAL"/>
    <s v="UNIDAD SEGURIDAD Y SALUD EN EL TRABAJO"/>
    <n v="4.2022850152268074E-2"/>
    <n v="0"/>
    <n v="1"/>
    <n v="28"/>
  </r>
  <r>
    <n v="375"/>
    <s v="041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s v="SI"/>
    <s v="Entregado al area"/>
    <x v="1"/>
    <s v="18 d ejulio esperando concepto de seguros_x000a_2 DE AGOSTO EN ELABORACION DE FPA"/>
    <m/>
    <d v="2022-09-01T00:00:00"/>
    <x v="12"/>
    <m/>
    <n v="50"/>
    <n v="50"/>
    <s v="G"/>
    <s v="OPERACIÓN"/>
    <s v="300-AO-2221-2022"/>
    <d v="2022-08-30T00:00:00"/>
    <n v="26256243"/>
    <s v="PROFINAS SOCIEDAD POR ACCIONES SIMPLIFICADA"/>
    <n v="202208018"/>
    <n v="210"/>
    <m/>
    <m/>
    <m/>
    <m/>
    <m/>
    <s v="YUMBO"/>
    <s v="REGIONAL"/>
    <m/>
    <n v="7.9980338547632467E-6"/>
    <n v="1"/>
    <n v="1"/>
    <n v="33"/>
  </r>
  <r>
    <n v="376"/>
    <s v="0419"/>
    <s v="GUENAA"/>
    <d v="2022-07-13T00:00:00"/>
    <x v="7"/>
    <s v="GAA0756"/>
    <s v="FR-300-GAA-0193-2022"/>
    <s v="300-CMA-1245-2020"/>
    <s v="Suministro de Coagulante para ser utilizado en el tratamiento de Agua Potable para Consumo Humano"/>
    <n v="4566744000"/>
    <s v="90 DIAS"/>
    <s v="N/A"/>
    <m/>
    <n v="202203114"/>
    <m/>
    <s v="N/A"/>
    <s v="N/A"/>
    <s v="N/A"/>
    <x v="1"/>
    <s v="AYDEE OVALLE"/>
    <d v="2022-07-13T00:00:00"/>
    <n v="63"/>
    <n v="63"/>
    <s v="SI"/>
    <s v="Entregado al area"/>
    <x v="1"/>
    <s v="18 de julio en elaboracion de la fpa_x000a_2 DE AGOSTO EN ACEPTACION DE LA OFERTA"/>
    <m/>
    <d v="2022-08-18T00:00:00"/>
    <x v="1"/>
    <m/>
    <n v="36"/>
    <n v="36"/>
    <s v="N/A"/>
    <s v="OPERACIÓN"/>
    <s v="300-CMA-1245-2020/300-AO-2087-2022"/>
    <d v="2022-08-05T00:00:00"/>
    <n v="4566740920"/>
    <s v="QUIMPAC DE COLOMBIA SA"/>
    <n v="202207744"/>
    <n v="3080"/>
    <m/>
    <m/>
    <m/>
    <m/>
    <m/>
    <s v="YUMBO"/>
    <s v="MUNICIPAL"/>
    <s v="PRODUCCIÓN DE AGUA POTABLE"/>
    <n v="6.74441133551607E-7"/>
    <n v="1"/>
    <n v="0"/>
    <n v="36"/>
  </r>
  <r>
    <n v="377"/>
    <s v="0420"/>
    <s v="GUENE"/>
    <d v="2022-07-13T00:00:00"/>
    <x v="7"/>
    <s v="GE0232"/>
    <s v="FR-500-GE-0215-2022"/>
    <s v="N/A"/>
    <s v="Grupo 1: Suministro de las Luminarias Led para Sistemas de Alumbrado Público de acuerdo a los diseños Fotométricos detallados por proyecto_x000a_Grupo 2: Suministro de los proyectos Led para Sistemas de Alumbrado Público de acuerdo a los diseños Fotométricos detallados por proyecto"/>
    <n v="17366079000"/>
    <m/>
    <s v="900-IPU-0420-2022"/>
    <s v="IPU"/>
    <n v="202204119"/>
    <m/>
    <s v="N/A"/>
    <s v="N/A"/>
    <s v="N/A"/>
    <x v="0"/>
    <s v="HAROLD MONDRAGON"/>
    <d v="2022-07-18T00:00:00"/>
    <e v="#VALUE!"/>
    <e v="#VALUE!"/>
    <s v="NO"/>
    <s v="Cerrado"/>
    <x v="0"/>
    <m/>
    <s v="1 DE AGOSTO EN ELABORACION DE LA FPA Y CC_x000a_28 D ESEPTIEMBRE PENDIENTE DE ACTA DE CIERRRE EN JURIDICA"/>
    <d v="2022-10-19T00:00:00"/>
    <x v="5"/>
    <s v="oct"/>
    <n v="98"/>
    <n v="93"/>
    <m/>
    <s v="FUNCIONAMIENTO"/>
    <m/>
    <m/>
    <m/>
    <m/>
    <m/>
    <m/>
    <m/>
    <m/>
    <m/>
    <m/>
    <m/>
    <m/>
    <m/>
    <m/>
    <m/>
    <n v="1"/>
    <m/>
    <m/>
  </r>
  <r>
    <n v="378"/>
    <s v="0421"/>
    <s v="GUENE"/>
    <d v="2022-07-13T00:00:00"/>
    <x v="7"/>
    <s v="GE0338"/>
    <s v="FR-500-GE-0218-2022"/>
    <s v="N/A"/>
    <s v="Reparación del Equipo de pruebas VLF CR 60"/>
    <n v="61190810"/>
    <s v="1 mes"/>
    <s v="900-IP-0421-2022"/>
    <m/>
    <n v="202205063"/>
    <m/>
    <s v="N/A"/>
    <s v="N/A"/>
    <s v="N/A"/>
    <x v="2"/>
    <s v="JULIO GARCIA"/>
    <d v="2022-08-12T00:00:00"/>
    <n v="63"/>
    <n v="33"/>
    <s v="SI"/>
    <s v="Entregado al area"/>
    <x v="1"/>
    <s v="1 DE AGOSTO EN ELABORACION DE FPA E INVITACION, SE DEMORO PORQUE TUVIERON QUE CAMBIAR EL CDP. 5 DE AGOSTO EN REVISION DE FPA E INVITACION_x000a_12 de agosto en numeracion de la aceptacion, rasignado a Julio garcia porque adalberto se va a vacaciones"/>
    <m/>
    <d v="2022-08-19T00:00:00"/>
    <x v="1"/>
    <m/>
    <n v="37"/>
    <n v="7"/>
    <s v="C"/>
    <s v="FUNCIONAMIENTO"/>
    <s v="500-AO-2113-2022"/>
    <d v="2022-08-11T00:00:00"/>
    <n v="61190810"/>
    <s v="NEW PRO SAS"/>
    <n v="202207810"/>
    <n v="0"/>
    <m/>
    <m/>
    <m/>
    <m/>
    <m/>
    <s v="BOGOTA"/>
    <s v="NACIONAL"/>
    <s v="UNIDAD DE MANTENIMIENTO"/>
    <n v="0"/>
    <n v="1"/>
    <n v="1"/>
    <n v="27"/>
  </r>
  <r>
    <n v="379"/>
    <s v="0422"/>
    <s v="GUENE"/>
    <d v="2022-07-13T00:00:00"/>
    <x v="7"/>
    <s v="GE0339"/>
    <s v="FR-500-GE-0219-2022"/>
    <s v="N/A"/>
    <s v="Servicios de prueba, diagnóstico y localización puntual de falla en los cables subterráneos que presentan daño de acuerdo con la necesidad de EMCALI EICE ESP"/>
    <n v="47600000"/>
    <s v="31 DE DICIEMBRE 2022"/>
    <s v="900-IP-0422-2022"/>
    <m/>
    <n v="202205064"/>
    <n v="47600000"/>
    <s v="N/A"/>
    <s v="N/A"/>
    <s v="N/A"/>
    <x v="2"/>
    <s v="JHON LARRY "/>
    <d v="2022-07-18T00:00:00"/>
    <e v="#VALUE!"/>
    <e v="#VALUE!"/>
    <s v="SI"/>
    <s v="Entregado al area"/>
    <x v="1"/>
    <s v="2 DE AGOSTO EN SOLICITUD DE CONCEPTOS. 5 DE AGOSTO EN COTIZACION"/>
    <m/>
    <d v="2022-09-21T00:00:00"/>
    <x v="11"/>
    <m/>
    <n v="70"/>
    <n v="65"/>
    <s v="B"/>
    <s v="FUNCIONAMIENTO"/>
    <s v="500-AO-2297-2022"/>
    <d v="2022-09-15T00:00:00"/>
    <n v="43693800"/>
    <s v="NEW PRO SAS"/>
    <n v="202208442"/>
    <n v="3906200"/>
    <m/>
    <m/>
    <m/>
    <m/>
    <m/>
    <s v="BOGOTA"/>
    <s v="NACIONAL"/>
    <s v="UNIDAD DE MANTENIMIENTO"/>
    <n v="8.2063025210084031E-2"/>
    <n v="1"/>
    <n v="1"/>
    <n v="30"/>
  </r>
  <r>
    <n v="380"/>
    <s v="0423"/>
    <s v="GUENAA"/>
    <d v="2022-07-14T00:00:00"/>
    <x v="7"/>
    <s v="GAA0392"/>
    <s v="FR-300-GAA-0159-2022"/>
    <s v="N/A"/>
    <s v="Realizar los estudios y diseños de ingenieria de detalle del tratamiento secundario de la Planta de Tratamiento de Aguas Residuales de Cañaveralejo - PTAR-C de EMCALI EICE ESP"/>
    <n v="13386733241"/>
    <m/>
    <s v="900-IPU-0423-2022"/>
    <s v="IPU"/>
    <n v="202200781"/>
    <m/>
    <s v="108-202200001"/>
    <m/>
    <s v="N/A"/>
    <x v="0"/>
    <s v="HAROLD MONDRAGON"/>
    <d v="2022-07-18T00:00:00"/>
    <e v="#VALUE!"/>
    <e v="#VALUE!"/>
    <m/>
    <s v="Cerrado"/>
    <x v="0"/>
    <d v="2022-12-09T00:00:00"/>
    <s v="1 DE AGOSTO EN INTELIGENCIA DE MERCADO_x000a_31 de agosto en respuesta a observacones_x000a_29 DE SEPTIEMBRE EN EVALUACION SOBRE 1_x000a_08-11-2022, Pasó a Comie y no fue coadyudado en espera gerente GAE_x000a_30-11-2022, EN ESPERA QUE SECRETARIA DE COMITÉ INFORME SI SE CIERRA O VUELVE A COMITE "/>
    <m/>
    <x v="5"/>
    <s v=""/>
    <n v="-44756"/>
    <n v="-44760"/>
    <m/>
    <s v="INVERSION"/>
    <m/>
    <m/>
    <m/>
    <m/>
    <m/>
    <m/>
    <m/>
    <m/>
    <m/>
    <m/>
    <m/>
    <m/>
    <m/>
    <m/>
    <m/>
    <n v="1"/>
    <m/>
    <m/>
  </r>
  <r>
    <n v="381"/>
    <s v="0424"/>
    <s v="GUENAA"/>
    <d v="2022-07-14T00:00:00"/>
    <x v="7"/>
    <s v="GAA0714"/>
    <s v="FR-300-GAA-0161-2022"/>
    <s v="N/A"/>
    <s v="Realizar la interventoría técnica, administrativa, financiera, contable, ambiental, social y jurídica de la consultoría &quot;Estudios y Diseños de ingeniería de detalle del tratamiento secundario de la Planta de Tratamiento de Aguas Residuales de Cañaveralejo PTAR-C de EMCALI EICE ESP"/>
    <n v="1070938659"/>
    <m/>
    <s v="900-IPU-0424-2022"/>
    <s v="IPU"/>
    <n v="202200781"/>
    <m/>
    <s v="108-202200001"/>
    <m/>
    <s v="N/A"/>
    <x v="0"/>
    <s v="HAROLD MONDRAGON"/>
    <d v="2022-07-18T00:00:00"/>
    <e v="#VALUE!"/>
    <e v="#VALUE!"/>
    <m/>
    <s v="Devuelto"/>
    <x v="2"/>
    <d v="2022-11-30T00:00:00"/>
    <s v="1 DE AGOSTO EN INTELIGENCIA DE MERCADO_x000a_28 DE SEPTIEMBRE EN REVISION DE FPA Y CC_x000a_09-11-2022, revision asesora juridica gae CC"/>
    <d v="2022-12-29T00:00:00"/>
    <x v="5"/>
    <s v="dic"/>
    <n v="168"/>
    <n v="164"/>
    <m/>
    <s v="INVERSION"/>
    <m/>
    <m/>
    <m/>
    <m/>
    <m/>
    <m/>
    <m/>
    <m/>
    <m/>
    <m/>
    <m/>
    <m/>
    <m/>
    <m/>
    <m/>
    <n v="1"/>
    <m/>
    <m/>
  </r>
  <r>
    <n v="382"/>
    <s v="0425"/>
    <s v="GTI"/>
    <d v="2022-07-14T00:00:00"/>
    <x v="7"/>
    <s v="GTI0188"/>
    <s v="FR-200-GTI-0108-2022"/>
    <s v="N/A"/>
    <s v="Suministrar servicios de consultoría para realizar el análisis de cobertura y cambio de versión del sistema Open Smartflex"/>
    <n v="261252154"/>
    <s v="28 DE DICIEMBRE 2022"/>
    <s v="900-IP-0425-2022"/>
    <m/>
    <n v="202205139"/>
    <n v="261252154"/>
    <s v="N/A"/>
    <s v="N/A"/>
    <s v="N/A"/>
    <x v="2"/>
    <s v="DIEGO PATIÑO"/>
    <d v="2022-07-19T00:00:00"/>
    <e v="#VALUE!"/>
    <e v="#VALUE!"/>
    <s v="SI"/>
    <s v="Entregado al area"/>
    <x v="1"/>
    <s v="4 DE AGOSTO EN ELABROACION DE FPA E INVITACION"/>
    <m/>
    <d v="2022-09-15T00:00:00"/>
    <x v="11"/>
    <m/>
    <n v="63"/>
    <n v="58"/>
    <s v="G"/>
    <s v="INVERSION"/>
    <s v="200-AO-2271-2022"/>
    <d v="2022-09-09T00:00:00"/>
    <n v="261252154"/>
    <s v="OPEN INTERNTIONAL SAS"/>
    <m/>
    <n v="0"/>
    <m/>
    <m/>
    <m/>
    <m/>
    <m/>
    <s v="CALI"/>
    <s v="LOCAL"/>
    <s v="UNIDAD DE PROSPECTIVA Y DESARROLLO DE NEGOCIOS"/>
    <n v="0"/>
    <n v="0"/>
    <n v="1"/>
    <n v="45"/>
  </r>
  <r>
    <n v="383"/>
    <s v="0426"/>
    <s v="GUENAA"/>
    <d v="2022-07-15T00:00:00"/>
    <x v="7"/>
    <s v="PENDIENTE"/>
    <s v="FR-300-GAA-0142-2022"/>
    <s v="N/A"/>
    <s v="Suministro de elementos eléctricos para todas las estaciones de bombeo de aguas lluvias y/o residuales"/>
    <n v="62022081"/>
    <s v="2 MESES"/>
    <s v="900-IP-0426-2022"/>
    <m/>
    <n v="202201836"/>
    <n v="69554145"/>
    <s v="N/A"/>
    <s v="N/A"/>
    <s v="N/A"/>
    <x v="2"/>
    <s v="LINA ECHAVARRIA"/>
    <d v="2022-07-15T00:00:00"/>
    <e v="#VALUE!"/>
    <e v="#VALUE!"/>
    <s v="SI"/>
    <s v="Entregado al area"/>
    <x v="1"/>
    <s v="1 DE AGOSTO EN COTIZACIONES"/>
    <m/>
    <d v="2022-09-22T00:00:00"/>
    <x v="11"/>
    <m/>
    <n v="69"/>
    <n v="69"/>
    <s v="B"/>
    <s v="FUNCIONAMIENTO"/>
    <s v="300-AO-2282-2022"/>
    <d v="2022-09-13T00:00:00"/>
    <n v="62017508"/>
    <s v="EPRING SAS"/>
    <n v="202208577"/>
    <n v="4573"/>
    <m/>
    <m/>
    <m/>
    <m/>
    <m/>
    <s v="CALI"/>
    <s v="LOCAL"/>
    <s v="UNIDAD DE BOMBEO"/>
    <n v="7.3731805290441646E-5"/>
    <n v="1"/>
    <n v="1"/>
    <n v="49"/>
  </r>
  <r>
    <n v="384"/>
    <s v="0427"/>
    <s v="GUENE"/>
    <d v="2022-07-15T00:00:00"/>
    <x v="7"/>
    <s v="GE0242"/>
    <s v="FR-500-GE-0208-2022"/>
    <s v="N/A"/>
    <s v="Suministro DDP de Equipos de prueba y localización de falla en cables aislados o subterraneos de media tensión, incluido el suministro del vehículo con las adecuaciones necesarias para la instalación de los equipos y elementos de prueba, localización y complementarios"/>
    <n v="1300000000"/>
    <s v="28 DE NOVIEMBRE 2022"/>
    <s v="900-IPU-0427-2022"/>
    <m/>
    <n v="202204406"/>
    <n v="1300000000"/>
    <s v="N/A"/>
    <s v="N/A"/>
    <s v="N/A"/>
    <x v="0"/>
    <s v="PAOLA BELTRAN"/>
    <d v="2022-07-18T00:00:00"/>
    <e v="#VALUE!"/>
    <e v="#VALUE!"/>
    <s v="SI"/>
    <s v="Entregado al area"/>
    <x v="1"/>
    <s v="1 DE AGOSTO EN ELABORACION DE LA CC"/>
    <m/>
    <d v="2022-09-19T00:00:00"/>
    <x v="11"/>
    <m/>
    <n v="66"/>
    <n v="63"/>
    <s v="N/A"/>
    <s v="INVERSION"/>
    <s v="500-AO-2322-2022"/>
    <d v="2022-09-15T00:00:00"/>
    <n v="1299859708"/>
    <s v="NEW PRO SAS"/>
    <n v="202208491"/>
    <n v="140292"/>
    <m/>
    <m/>
    <m/>
    <m/>
    <m/>
    <s v="BOGOTA"/>
    <s v="NACIONAL"/>
    <s v="UNIDAD DE MANTENIMIENTO"/>
    <n v="1.0791692307692307E-4"/>
    <n v="1"/>
    <n v="2"/>
    <n v="66"/>
  </r>
  <r>
    <n v="385"/>
    <s v="0428"/>
    <s v="GUENAA"/>
    <d v="2022-07-18T00:00:00"/>
    <x v="7"/>
    <s v="PENDINETE"/>
    <s v="FR-300-GAA-0137-2022"/>
    <s v="N/A"/>
    <s v="Mantenimiento y Calibración sistemas de Pesaje Plantas de Tratamiento de Agua Potable"/>
    <n v="29720250"/>
    <s v="28 DE NOVIEMBRE 2022"/>
    <s v="900-IP-0428-2022"/>
    <m/>
    <n v="202200893"/>
    <n v="30000000"/>
    <s v="N/A"/>
    <s v="N/A"/>
    <s v="N/A"/>
    <x v="2"/>
    <s v="JHON LARRY "/>
    <d v="2022-07-18T00:00:00"/>
    <e v="#VALUE!"/>
    <e v="#VALUE!"/>
    <s v="SI"/>
    <s v="Entregado al area"/>
    <x v="1"/>
    <s v="5 DE AGOSTO EN REVISION DE LA FPA POR SILVIA"/>
    <m/>
    <d v="2022-09-13T00:00:00"/>
    <x v="11"/>
    <m/>
    <n v="57"/>
    <n v="57"/>
    <s v="G"/>
    <s v="FUNCIONAMIENTO"/>
    <s v="300-AO-2241-2022"/>
    <d v="2022-09-02T00:00:00"/>
    <n v="29720250"/>
    <s v="WEIGHING SYSTEMS SOLUTIONS WSS LTDA"/>
    <n v="202208289"/>
    <n v="0"/>
    <m/>
    <m/>
    <m/>
    <m/>
    <m/>
    <s v="CALI"/>
    <s v="LOCAL"/>
    <s v="UNIDAD DE MANTENIMIENTO"/>
    <n v="0"/>
    <n v="1"/>
    <n v="1"/>
    <n v="41"/>
  </r>
  <r>
    <n v="386"/>
    <s v="0429"/>
    <s v="GUENAA"/>
    <d v="2022-07-18T00:00:00"/>
    <x v="7"/>
    <s v="GAA0762"/>
    <s v="FR-300-GAA-0096-2022"/>
    <s v="N/A"/>
    <s v="Servicios de asesoría para control de parámetros de seguimiento al plan de manejo ambiental - PMA de la Planta de Tratamiento de Aguas Residuales de Cañaveralejo - PTAR C DE EMCALI EICE ESP"/>
    <n v="357050595"/>
    <n v="309233400"/>
    <s v="900-IP-0429-2022"/>
    <m/>
    <n v="202202753"/>
    <n v="495000000"/>
    <s v="N/A"/>
    <s v="N/A"/>
    <s v="N/A"/>
    <x v="2"/>
    <s v="PAOLA BELTRAN"/>
    <d v="2022-08-05T00:00:00"/>
    <e v="#VALUE!"/>
    <e v="#VALUE!"/>
    <s v="SI"/>
    <s v="Entregado al area"/>
    <x v="1"/>
    <s v="2 DE AGOSTO SE ASIGNARA A OTRO GESTOR 4 DE AGOSTO REASIGNADO A PAOLA BELTRAN"/>
    <m/>
    <d v="2022-09-20T00:00:00"/>
    <x v="11"/>
    <m/>
    <n v="64"/>
    <n v="46"/>
    <s v="G"/>
    <s v="FUNCIONAMIENTO"/>
    <s v="300-AO-2296-2022"/>
    <d v="2022-09-13T00:00:00"/>
    <n v="309233400"/>
    <s v="AG CONSULTORES AMBIENTALES SAS"/>
    <m/>
    <n v="47817195"/>
    <m/>
    <m/>
    <m/>
    <m/>
    <m/>
    <m/>
    <m/>
    <s v="UNIDAD DE TRATAMIENTO"/>
    <n v="0.13392274279783795"/>
    <n v="1"/>
    <n v="1"/>
    <n v="39"/>
  </r>
  <r>
    <n v="387"/>
    <s v="0430"/>
    <s v="GAGHA"/>
    <d v="2022-07-18T00:00:00"/>
    <x v="7"/>
    <s v="GHA0233_x000a_GHA0234_x000a_GHA0250_x000a_GHA0251_x000a_GHA0252_x000a_GHA0253"/>
    <s v="FR-800-GHA-0150-2022"/>
    <s v="N/A"/>
    <s v="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
    <n v="1064136000"/>
    <m/>
    <s v="900-IP-0430-2022"/>
    <s v="IP-"/>
    <s v="202202129_x000a_202203021"/>
    <m/>
    <s v="N/A"/>
    <s v="N/A"/>
    <s v="N/A"/>
    <x v="2"/>
    <s v="LAURA PIMIENTA"/>
    <d v="2022-08-03T00:00:00"/>
    <e v="#VALUE!"/>
    <e v="#VALUE!"/>
    <s v="NO"/>
    <s v="Devuelto"/>
    <x v="2"/>
    <m/>
    <s v="3 de agosto reasignado a laura pimienta_x000a_SE DEVUELVE AL AREA POR AJUSTE DE PRESUPUESTO "/>
    <d v="2022-09-15T00:00:00"/>
    <x v="5"/>
    <s v="sep"/>
    <n v="59"/>
    <n v="43"/>
    <s v="B"/>
    <s v="FUNCIONAMIENTO"/>
    <m/>
    <m/>
    <m/>
    <m/>
    <m/>
    <m/>
    <m/>
    <m/>
    <m/>
    <m/>
    <m/>
    <m/>
    <m/>
    <m/>
    <m/>
    <n v="0"/>
    <m/>
    <m/>
  </r>
  <r>
    <n v="388"/>
    <s v="0431"/>
    <s v="GAGHA"/>
    <d v="2022-07-18T00:00:00"/>
    <x v="7"/>
    <s v="GHA0265"/>
    <s v="FR-800-GHA-0181-2022"/>
    <s v="N/A"/>
    <s v="Garantizar el suministro de repuestos requeridos para llevar a cabo mantenimientos correctivos y/o preventivos a los equipos de Presión - Succión que hacen parte del Parque Automotor de EMCALI EICE ESP."/>
    <n v="1691000000"/>
    <s v="28DE NOVIEMBRE 2022"/>
    <s v="900-IP-0431-2022"/>
    <m/>
    <s v="202204141_x000a_202204548"/>
    <m/>
    <s v="N/A"/>
    <s v="N/A"/>
    <s v="N/A"/>
    <x v="2"/>
    <s v="LAURA PIMIENTA"/>
    <d v="2022-07-19T00:00:00"/>
    <e v="#VALUE!"/>
    <e v="#VALUE!"/>
    <s v="SI"/>
    <s v="Entregado al area"/>
    <x v="1"/>
    <s v="3 de agosto reasignado a laura pimienta"/>
    <m/>
    <d v="2022-09-21T00:00:00"/>
    <x v="11"/>
    <m/>
    <n v="65"/>
    <n v="64"/>
    <s v="C"/>
    <s v="FUNCIONAMIENTO"/>
    <s v="800-AO-2321-2022"/>
    <d v="2022-09-15T00:00:00"/>
    <n v="1691000000"/>
    <s v="SERVICIOS TECNICOS DE INGENIERIA LTDA SETINGE LTDA"/>
    <n v="202208490"/>
    <n v="0"/>
    <m/>
    <m/>
    <m/>
    <m/>
    <m/>
    <m/>
    <m/>
    <s v="UNIDAD GESTIÓN ADMINISTRATIVA"/>
    <n v="0"/>
    <n v="0"/>
    <n v="1"/>
    <n v="47"/>
  </r>
  <r>
    <n v="389"/>
    <s v="0432"/>
    <s v="GAGHA"/>
    <d v="2022-07-18T00:00:00"/>
    <x v="7"/>
    <s v="GHA0266_x000a_GHA0267"/>
    <s v="FR-800-GHA-0184-2022"/>
    <s v="N/A"/>
    <s v="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
    <n v="19602280"/>
    <s v="28 DE NOVIEMBRE 2022"/>
    <s v="900-IP-0432-2022"/>
    <m/>
    <s v="202202894_x000a_202204455"/>
    <m/>
    <s v="N/A"/>
    <s v="N/A"/>
    <s v="N/A"/>
    <x v="2"/>
    <s v="LAURA PIMIENTA"/>
    <d v="2022-07-19T00:00:00"/>
    <n v="113"/>
    <n v="112"/>
    <s v="SI"/>
    <s v="Entregado al area"/>
    <x v="1"/>
    <s v="3 de agosto reasignado a laura pimienta_x000a_28 DE SEPTIEMBRE EN SOLICITUD DE POLIZAS POR PARTE DEL PROVEEDOR"/>
    <m/>
    <d v="2022-10-06T00:00:00"/>
    <x v="12"/>
    <n v="80"/>
    <m/>
    <n v="79"/>
    <s v="G"/>
    <s v="FUNCIONAMIENTO"/>
    <s v="800-AO-2377-2022"/>
    <d v="2022-09-15T00:00:00"/>
    <n v="19400000"/>
    <s v="ZAGAMOTOS DEL PACIFICO SAS"/>
    <n v="202208531"/>
    <n v="202280"/>
    <s v="CALI"/>
    <s v="LOCAL"/>
    <m/>
    <m/>
    <m/>
    <m/>
    <m/>
    <m/>
    <n v="1.0319207765627263E-2"/>
    <n v="0"/>
    <n v="1"/>
    <n v="58"/>
  </r>
  <r>
    <n v="390"/>
    <s v="0433"/>
    <s v="GUENT"/>
    <d v="2022-07-18T00:00:00"/>
    <x v="7"/>
    <s v="GT0153"/>
    <s v="FR-400-GT-0177-2022"/>
    <s v="N/A"/>
    <s v="Soporte técnico y mantenimiento medidor marca PROMAX, modelo HD Ranger 2"/>
    <n v="3451000"/>
    <s v="28 DE NOVIEMBRE 2022"/>
    <s v="900-IP-0433-2022"/>
    <m/>
    <n v="202205066"/>
    <n v="3451000"/>
    <s v="N/A"/>
    <s v="N/A"/>
    <s v="N/A"/>
    <x v="2"/>
    <s v="JHON LARRY "/>
    <d v="2022-07-21T00:00:00"/>
    <n v="113"/>
    <n v="110"/>
    <s v="SI"/>
    <s v="Entregado al area"/>
    <x v="1"/>
    <s v="2 DE AGOSTO EN SOLICITUD DE CONCEPTOS. 5 DE AGOSTO EN COTIZACION. SE SACARA POR LITERAL G."/>
    <m/>
    <d v="2022-10-12T00:00:00"/>
    <x v="12"/>
    <n v="86"/>
    <m/>
    <n v="83"/>
    <s v="G"/>
    <s v="FUNCIONAMIENTO"/>
    <s v="400-AO-2220-2022"/>
    <d v="2022-08-30T00:00:00"/>
    <n v="3451000"/>
    <s v="RF LABS GRUPO TECNOLOGICO"/>
    <n v="202208014"/>
    <n v="0"/>
    <s v="BOGOTA "/>
    <s v="NACIONAL"/>
    <m/>
    <m/>
    <m/>
    <m/>
    <m/>
    <m/>
    <n v="0"/>
    <n v="1"/>
    <n v="1"/>
    <n v="57"/>
  </r>
  <r>
    <n v="391"/>
    <s v="0434"/>
    <s v="GUENTIC"/>
    <d v="2022-07-18T00:00:00"/>
    <x v="7"/>
    <s v="GT0164"/>
    <s v="FR-400-GT-0178-2022"/>
    <s v="N/A"/>
    <s v="Soporte técnico requerido para la operación, administración y manejo de la plataforma, incluyendo transferencia de conocimiento hacia el personal encargado de Zabbix en EMCALI EICE ESP"/>
    <n v="129108545"/>
    <m/>
    <s v="900-IP-0434-2022"/>
    <s v="IP-"/>
    <n v="202205066"/>
    <m/>
    <s v="N/A"/>
    <s v="N/A"/>
    <s v="N/A"/>
    <x v="2"/>
    <s v="JULIETA ORTIZ"/>
    <d v="2022-07-19T00:00:00"/>
    <e v="#VALUE!"/>
    <e v="#VALUE!"/>
    <s v="NO"/>
    <s v="Devuelto"/>
    <x v="2"/>
    <m/>
    <s v="2 DE AGOSTO EN COTIZACIONES"/>
    <d v="2022-12-05T00:00:00"/>
    <x v="5"/>
    <s v="dic"/>
    <n v="140"/>
    <n v="139"/>
    <m/>
    <s v="FUNCIONAMIENTO"/>
    <m/>
    <m/>
    <m/>
    <m/>
    <m/>
    <m/>
    <m/>
    <m/>
    <m/>
    <m/>
    <m/>
    <m/>
    <m/>
    <m/>
    <m/>
    <n v="0"/>
    <m/>
    <m/>
  </r>
  <r>
    <n v="392"/>
    <s v="0435"/>
    <s v="GAGHA"/>
    <d v="2022-07-19T00:00:00"/>
    <x v="7"/>
    <s v="GHA0270_x000a_GHA0271_x000a_GHA0277_x000a_GHA0278"/>
    <s v="FR-800-GHA-0132-2022_x000a_FR-800-GHA-0142-2022"/>
    <s v="N/A"/>
    <s v="Realizar la compra de dos (2) camperos/Suv 4x4, 3 o 5 puertas, incluyendo el servicio de diez (10) mantenimientos preventivos para cada vehículo, con las adecuaciones requeridas por EMCALI EICE ESP_x000a_Realizar la compra de un (1) vehículo SUV 4X4 de 5 puertas; incluyendo el servicio de Diez (10) mantenimientos preventivos para el vehículo, con las adecuaciones requeridas por EMCALI EICE ESP"/>
    <n v="226560000"/>
    <s v="28 DE NOVIEMBRE 2022"/>
    <s v="900-IP-0435-2022"/>
    <m/>
    <s v="202201759_x000a_202202081_x000a_202202682_x000a_202202679"/>
    <n v="226560000"/>
    <s v="N/A"/>
    <s v="N/A"/>
    <s v="N/A"/>
    <x v="2"/>
    <s v="LAURA PIMIENTA"/>
    <d v="2022-07-19T00:00:00"/>
    <n v="112"/>
    <n v="112"/>
    <s v="SI"/>
    <s v="Entregado al area"/>
    <x v="1"/>
    <s v="3 DE AGOSTO EN ESPERA DE LA COTIZACION DE LA SUB_x000a_28 DE SPETIEMBRE A LA ESPERA DE LAS POLIZAS"/>
    <m/>
    <d v="2022-10-24T00:00:00"/>
    <x v="12"/>
    <n v="97"/>
    <m/>
    <n v="97"/>
    <s v="L"/>
    <s v="FUNCIONAMIENTO"/>
    <s v="800-AO-2227-2022"/>
    <d v="2022-09-15T00:00:00"/>
    <n v="226014074"/>
    <s v="COLEGAS SAS"/>
    <n v="202208493"/>
    <n v="545926"/>
    <s v="CALI"/>
    <s v="LOCAL"/>
    <m/>
    <m/>
    <m/>
    <m/>
    <m/>
    <m/>
    <n v="2.4096310028248586E-3"/>
    <n v="0"/>
    <n v="1"/>
    <n v="69"/>
  </r>
  <r>
    <n v="393"/>
    <s v="0436"/>
    <s v="GUENE"/>
    <d v="2022-07-21T00:00:00"/>
    <x v="7"/>
    <s v="PENDIENTE"/>
    <s v="FR-500-GE-0197-2022"/>
    <s v="N/A"/>
    <s v="Suministro de Medidores de Energía Electronicos para Medida Directa"/>
    <n v="470442700"/>
    <s v="28 de noviembre 2022"/>
    <s v="900-IP-0436-2022"/>
    <m/>
    <n v="202203902"/>
    <m/>
    <s v="N/A"/>
    <s v="N/A"/>
    <s v="N/A"/>
    <x v="2"/>
    <s v="LINA ECHAVARRIA"/>
    <d v="2022-07-19T00:00:00"/>
    <e v="#VALUE!"/>
    <e v="#VALUE!"/>
    <s v="SI"/>
    <s v="Entregado al area"/>
    <x v="1"/>
    <s v="1 DE AGOSTO EN EVALUACION DE LA OFERTA"/>
    <m/>
    <d v="2022-08-29T00:00:00"/>
    <x v="11"/>
    <m/>
    <n v="39"/>
    <n v="41"/>
    <s v="B"/>
    <s v="OPERACIÓN"/>
    <s v="500-AO-2198-2022"/>
    <d v="2022-08-27T00:00:00"/>
    <n v="344778700"/>
    <s v="RYMEL  INGENIERIA ELECTRICA SAS"/>
    <n v="202207903"/>
    <n v="125664000"/>
    <m/>
    <m/>
    <m/>
    <m/>
    <m/>
    <s v="CALI"/>
    <s v="LOCAL"/>
    <s v="UNIDAD DE CONTROL DE ENERGÍA"/>
    <n v="0.26711860976905372"/>
    <n v="1"/>
    <n v="1"/>
    <n v="27"/>
  </r>
  <r>
    <n v="394"/>
    <s v="0437"/>
    <s v="GUENAA"/>
    <d v="2022-07-21T00:00:00"/>
    <x v="7"/>
    <s v="PENDIENTE"/>
    <s v="FR-300-GAA-0122-2022"/>
    <s v="N/A"/>
    <s v="Suministro e instalación de generador Planta Puerto Mallarino"/>
    <n v="589996150"/>
    <s v="45 DIAS"/>
    <s v="900-IP-0437-2022"/>
    <m/>
    <n v="202202190"/>
    <m/>
    <s v="N/A"/>
    <s v="N/A"/>
    <s v="N/A"/>
    <x v="2"/>
    <s v="LINA ECHAVARRIA"/>
    <d v="2022-07-21T00:00:00"/>
    <n v="55"/>
    <n v="55"/>
    <s v="SI"/>
    <s v="Entregado al area"/>
    <x v="1"/>
    <s v="1 DE AGOSTO EN EVALUACION DE LA OFERTA"/>
    <m/>
    <d v="2022-08-19T00:00:00"/>
    <x v="1"/>
    <m/>
    <n v="29"/>
    <n v="29"/>
    <s v="B"/>
    <s v="INVERSION"/>
    <s v="300-AO-2103-2022"/>
    <d v="2022-08-11T00:00:00"/>
    <n v="589750704"/>
    <s v="STEWART &amp; STEVENSON DE LAS AMERICAS COLOMBIA LTDA"/>
    <n v="202207759"/>
    <n v="245446"/>
    <m/>
    <m/>
    <m/>
    <m/>
    <m/>
    <s v="YUMBO"/>
    <s v="MUNICIPAL"/>
    <s v="UNIDAD DE MANTENIMIENTO"/>
    <n v="4.1601288415187118E-4"/>
    <n v="1"/>
    <n v="1"/>
    <n v="21"/>
  </r>
  <r>
    <n v="395"/>
    <s v="0438"/>
    <s v="GUENTIC"/>
    <d v="2022-07-21T00:00:00"/>
    <x v="7"/>
    <s v="GT0162"/>
    <s v="FR-400-GT-0193-2022"/>
    <s v="N/A"/>
    <s v="Mantenimiento preventivo de las antenas de televisión que hacen parte del sistema de adquisición de señal satelital de canales nacionales e internacionales."/>
    <n v="36000000"/>
    <m/>
    <s v="900-IP-0438-2022"/>
    <s v="IP-"/>
    <n v="202205131"/>
    <m/>
    <s v="N/A"/>
    <s v="N/A"/>
    <s v="N/A"/>
    <x v="2"/>
    <s v="JUAN DAVID GOMEZ"/>
    <d v="2022-07-27T00:00:00"/>
    <e v="#VALUE!"/>
    <e v="#VALUE!"/>
    <s v="NO"/>
    <s v="Devuelto"/>
    <x v="2"/>
    <d v="2022-11-16T00:00:00"/>
    <s v="1 de agosto en solciitud de conceptos. 5 DE AGOSTO EN SOLICITUD DE CONCEPTOS._x000a_28 DE SEPTIEMBRE EN COTIZACIONES_x000a_EL PROVEEDOR NO ALCANZA A EJECUTAR EL CONTRATO "/>
    <d v="2022-11-18T00:00:00"/>
    <x v="5"/>
    <s v="nov"/>
    <n v="120"/>
    <n v="114"/>
    <m/>
    <s v="FUNCIONAMIENTO"/>
    <m/>
    <m/>
    <m/>
    <m/>
    <m/>
    <m/>
    <m/>
    <m/>
    <m/>
    <m/>
    <m/>
    <m/>
    <m/>
    <m/>
    <m/>
    <n v="0"/>
    <m/>
    <m/>
  </r>
  <r>
    <n v="396"/>
    <s v="0439"/>
    <s v="GUENAA"/>
    <d v="2022-07-21T00:00:00"/>
    <x v="7"/>
    <s v="GAA0745"/>
    <s v="FR-300-GAA-0194-2022"/>
    <s v="N/A"/>
    <s v="Compra de equipos de Malacate (cabrestante) mecánico con motor Diesel para Desazolve y/o limpieza de Alcantarillas mediante balde metálico (cuchara de almeja)."/>
    <n v="804190483"/>
    <m/>
    <s v="900-IPU-0439-2022"/>
    <s v="IPU"/>
    <s v="202202789_x000a_202204263"/>
    <m/>
    <s v="N/A"/>
    <s v="N/A"/>
    <s v="N/A"/>
    <x v="0"/>
    <s v="LINA ECHAVARRIA"/>
    <d v="2022-07-27T00:00:00"/>
    <e v="#VALUE!"/>
    <e v="#VALUE!"/>
    <s v="NO"/>
    <s v="Devuelto"/>
    <x v="2"/>
    <m/>
    <s v="1 DE AGOSTO SOLICITUD DE CONCEPTOS"/>
    <d v="2022-09-15T00:00:00"/>
    <x v="5"/>
    <s v="sep"/>
    <n v="56"/>
    <n v="50"/>
    <s v="G"/>
    <s v="FUNCIONAMIENTO"/>
    <m/>
    <m/>
    <m/>
    <m/>
    <m/>
    <m/>
    <m/>
    <m/>
    <m/>
    <m/>
    <m/>
    <m/>
    <m/>
    <m/>
    <m/>
    <n v="1"/>
    <m/>
    <m/>
  </r>
  <r>
    <n v="397"/>
    <s v="0440"/>
    <s v="GUENAA"/>
    <d v="2022-07-21T00:00:00"/>
    <x v="7"/>
    <s v="N/A"/>
    <s v="FR-300-GAA-0196-2022"/>
    <s v="N/A"/>
    <s v="Suministrar de elementos o materiales de ferretería."/>
    <s v="N/A"/>
    <m/>
    <m/>
    <s v=""/>
    <s v="N/A"/>
    <m/>
    <s v="N/A"/>
    <s v="N/A"/>
    <s v="N/A"/>
    <x v="3"/>
    <s v="SIN ASIGNAR"/>
    <m/>
    <e v="#VALUE!"/>
    <e v="#VALUE!"/>
    <m/>
    <s v="Inicio Proceso"/>
    <x v="2"/>
    <m/>
    <s v="LA UENAA RADICO EL PROCESO PERO NO SE ENCONTRO LA CARPETA"/>
    <m/>
    <x v="5"/>
    <s v=""/>
    <n v="-44763"/>
    <n v="0"/>
    <m/>
    <s v="FUNCIONAMIENTO"/>
    <m/>
    <m/>
    <m/>
    <m/>
    <m/>
    <m/>
    <m/>
    <m/>
    <m/>
    <m/>
    <m/>
    <m/>
    <m/>
    <m/>
    <m/>
    <n v="1"/>
    <m/>
    <m/>
  </r>
  <r>
    <n v="398"/>
    <s v="0441"/>
    <s v="GUENAA"/>
    <d v="2022-07-21T00:00:00"/>
    <x v="7"/>
    <s v="N/A"/>
    <s v="FR-300-GAA-0199-2022"/>
    <s v="N/A"/>
    <s v="Obras civiles y mecánicas para construcción muro de concreto y optimización descarga Estación de Bombeo Guaduales."/>
    <n v="5802473868"/>
    <m/>
    <s v="900-IPU-0441-2022"/>
    <s v="IPU"/>
    <m/>
    <m/>
    <s v="N/A"/>
    <s v="N/A"/>
    <s v="N/A"/>
    <x v="0"/>
    <s v="HAROLD MONDRAGON"/>
    <d v="2022-08-02T00:00:00"/>
    <e v="#VALUE!"/>
    <e v="#VALUE!"/>
    <m/>
    <s v="ELABORACION OFICIO DEVOLUCION "/>
    <x v="2"/>
    <d v="2022-11-30T00:00:00"/>
    <s v="28 DE SEPTIEMBRE EN ELABORACION DE FPA Y CC_x000a_08-11-2022, Proceso que sale en lista de precalificados por segmentos, en revision juridica GAE_x000a_18-11-2022, esta en revision juridica GAE y sale por lista de precalificados, espera info del area si contamos con recursos del fonfo de adaptacion._x000a_24-11-2022, POR INSTRUCCIÓN ASESORES GERENCIA GENERAL PROCESOS QUE NO SE VAN A TRAMITAR HASTA QUE AREA ENTREGUE VF, PROCESOS PARA DEVOLUCION AL AEREA"/>
    <d v="2022-11-30T00:00:00"/>
    <x v="5"/>
    <s v="nov"/>
    <n v="132"/>
    <n v="120"/>
    <m/>
    <s v="INVERSION"/>
    <m/>
    <m/>
    <m/>
    <m/>
    <m/>
    <m/>
    <m/>
    <m/>
    <m/>
    <m/>
    <m/>
    <m/>
    <m/>
    <m/>
    <m/>
    <n v="1"/>
    <m/>
    <m/>
  </r>
  <r>
    <n v="399"/>
    <s v="0442"/>
    <s v="GUENAA"/>
    <d v="2022-07-21T00:00:00"/>
    <x v="7"/>
    <s v="N/A"/>
    <s v="FR-300-GAA-0200-2022"/>
    <s v="N/A"/>
    <s v="Realizar la interventoría técnica, administrativa, financiera y legal del concreto que surja del proceso, cuyo objeto es realizar la construcción de las obras civiles y mecánicas para construcción de muro de concreto, y optimización descarga Estación de Bombeo Guaduales."/>
    <n v="650432580"/>
    <m/>
    <s v="900-IPU-0442-2022"/>
    <s v="IPU"/>
    <s v="N/A"/>
    <m/>
    <s v="N/A"/>
    <s v="N/A"/>
    <s v="N/A"/>
    <x v="0"/>
    <s v="HAROLD MONDRAGON"/>
    <d v="2022-08-02T00:00:00"/>
    <e v="#VALUE!"/>
    <e v="#VALUE!"/>
    <m/>
    <s v="ELABORACION OFICIO DEVOLUCION "/>
    <x v="2"/>
    <d v="2022-11-30T00:00:00"/>
    <s v="28 DE SEPTIEMBRE EN ELABORACION DE FPA Y CC_x000a_10-11-2022, proceso se entrega para revision FPA Y CC por motivo del levantameinto de suspension contratacion_x000a_24-11-2022, POR INSTRUCCIÓN ASESORES GERENCIA GENERAL PROCESOS QUE NO SE VAN A TRAMITAR HASTA QUE AREA ENTREGUE VF, PROCESOS PARA DEVOLUCION AL AEREA "/>
    <d v="2022-11-30T00:00:00"/>
    <x v="5"/>
    <s v="nov"/>
    <n v="132"/>
    <n v="120"/>
    <m/>
    <s v="INVERSION"/>
    <m/>
    <m/>
    <m/>
    <m/>
    <m/>
    <m/>
    <m/>
    <m/>
    <m/>
    <m/>
    <m/>
    <m/>
    <m/>
    <m/>
    <m/>
    <n v="1"/>
    <m/>
    <m/>
  </r>
  <r>
    <n v="400"/>
    <s v="0443"/>
    <s v="GUENAA"/>
    <d v="2022-07-21T00:00:00"/>
    <x v="7"/>
    <s v="N/A"/>
    <s v="FR-300-GAA-0201-2022"/>
    <s v="N/A"/>
    <s v="Diseños alcantarillado tramos solicitados por área operativa Grupo 2."/>
    <n v="700000000"/>
    <m/>
    <s v="900-IPU-0443-2022"/>
    <s v="IPU"/>
    <s v="N/A"/>
    <m/>
    <s v="N/A"/>
    <s v="N/A"/>
    <s v="N/A"/>
    <x v="0"/>
    <s v="HAROLD MONDRAGON"/>
    <d v="2022-08-03T00:00:00"/>
    <e v="#VALUE!"/>
    <e v="#VALUE!"/>
    <m/>
    <s v="ELABORACION OFICIO DEVOLUCION "/>
    <x v="2"/>
    <d v="2022-11-30T00:00:00"/>
    <s v="28 DE SEPTIEMBRE EN ELABORACION DE FPA Y CC_x000a_10-11-2022, proceso se entrega para revision FPA Y CC por motivo del levantameinto de suspension contratacion _x000a_18-11-2022, en revision sale por lista de precalificados_x000a_24-11-2022, POR INSTRUCCIÓN ASESORES GERENCIA GENERAL PROCESOS QUE NO SE VAN A TRAMITAR HASTA QUE AREA ENTREGUE VF, PROCESOS PARA DEVOLUCION AL AEREA"/>
    <d v="2022-11-30T00:00:00"/>
    <x v="5"/>
    <s v="nov"/>
    <n v="132"/>
    <n v="119"/>
    <m/>
    <s v="INVERSION"/>
    <m/>
    <m/>
    <m/>
    <m/>
    <m/>
    <m/>
    <m/>
    <m/>
    <m/>
    <m/>
    <m/>
    <m/>
    <m/>
    <m/>
    <m/>
    <n v="1"/>
    <m/>
    <m/>
  </r>
  <r>
    <n v="401"/>
    <s v="0444"/>
    <s v="GUENAA"/>
    <d v="2022-07-21T00:00:00"/>
    <x v="7"/>
    <s v="N/A"/>
    <s v="FR-300-GAA-0202-2022"/>
    <s v="N/A"/>
    <s v="Consultoría para adelantar investigación con circuito cerrado de televisión (CCTV) y evaluación de interceptores y colectores secundarios sanitarios y combinados en sistema de drenaje de la Ciudad de Cali."/>
    <n v="1000000000"/>
    <m/>
    <s v="900-IPU-0444-2022"/>
    <s v="IPU"/>
    <s v="N/A"/>
    <m/>
    <s v="N/A"/>
    <s v="N/A"/>
    <s v="N/A"/>
    <x v="0"/>
    <s v="HAROLD MONDRAGON"/>
    <d v="2022-08-03T00:00:00"/>
    <e v="#VALUE!"/>
    <e v="#VALUE!"/>
    <m/>
    <s v="ELABORACION OFICIO DEVOLUCION "/>
    <x v="2"/>
    <d v="2022-11-30T00:00:00"/>
    <s v="3 de agosto reasignado a harold mondragon_x000a_28 DE SEPTIEMBRE EN ELABORACION DE FPA Y CC_x000a_10-11-2022, proceso se enttrega para revision _x000a_18-11-2022, en revision y sale por lista de precalificados_x000a_24-11-2022, POR INSTRUCCIÓN ASESORES GERENCIA GENERAL PROCESOS QUE NO SE VAN A TRAMITAR HASTA QUE AREA ENTREGUE VF, PROCESOS PARA DEVOLUCION AL AEREA "/>
    <d v="2022-11-30T00:00:00"/>
    <x v="5"/>
    <s v="nov"/>
    <n v="132"/>
    <n v="119"/>
    <m/>
    <s v="INVERSION"/>
    <m/>
    <m/>
    <m/>
    <m/>
    <m/>
    <m/>
    <m/>
    <m/>
    <m/>
    <m/>
    <m/>
    <m/>
    <m/>
    <m/>
    <m/>
    <n v="1"/>
    <m/>
    <m/>
  </r>
  <r>
    <n v="402"/>
    <s v="0445"/>
    <s v="GUENAA"/>
    <d v="2022-07-21T00:00:00"/>
    <x v="7"/>
    <s v="PRECALIF"/>
    <s v="FR-300-GAA-0203-2022"/>
    <s v="N/A"/>
    <s v="Reposición redes tramos criticos Acueducto y Alcantarillado sectores varios."/>
    <s v="N/A"/>
    <m/>
    <s v="900-IPU-0445-2022"/>
    <s v="IPU"/>
    <s v="N/A"/>
    <m/>
    <s v="N/A"/>
    <s v="N/A"/>
    <s v="N/A"/>
    <x v="0"/>
    <s v="HAROLD MONDRAGON"/>
    <d v="2022-07-29T00:00:00"/>
    <e v="#VALUE!"/>
    <e v="#VALUE!"/>
    <m/>
    <s v="ELABORACION OFICIO DEVOLUCION "/>
    <x v="2"/>
    <d v="2022-11-30T00:00:00"/>
    <s v="1 de agosto en solicitud de conceptos_x000a_28 DE SEPTIEMBRE EN ELABORACION DE FPA Y CC_x000a_08-11-2022, se encuentra en lista de precalificados por segmentos, en revision juridica de la GAE"/>
    <d v="2022-11-30T00:00:00"/>
    <x v="5"/>
    <s v="nov"/>
    <n v="132"/>
    <n v="124"/>
    <m/>
    <s v="INVERSION"/>
    <m/>
    <m/>
    <m/>
    <m/>
    <m/>
    <m/>
    <m/>
    <m/>
    <m/>
    <m/>
    <m/>
    <m/>
    <m/>
    <m/>
    <m/>
    <n v="1"/>
    <m/>
    <m/>
  </r>
  <r>
    <n v="403"/>
    <s v="0446"/>
    <s v="GUENAA"/>
    <d v="2022-07-21T00:00:00"/>
    <x v="7"/>
    <s v="N/A"/>
    <s v="FR-300-GAA-0204-2022"/>
    <s v="N/A"/>
    <s v="Obras de control de Aguas Lluvias y de Escorentía Microcuenca Monaco y Obras de estabilización de Laderas CDI La Estrella."/>
    <n v="1868276989"/>
    <m/>
    <s v="900-IPU-0446-2022"/>
    <s v="IPU"/>
    <s v="N/A"/>
    <m/>
    <s v="N/A"/>
    <s v="N/A"/>
    <s v="N/A"/>
    <x v="0"/>
    <s v="HAROLD MONDRAGON"/>
    <d v="2022-08-02T00:00:00"/>
    <e v="#VALUE!"/>
    <e v="#VALUE!"/>
    <m/>
    <s v="ELABORACION OFICIO DEVOLUCION "/>
    <x v="2"/>
    <d v="2022-11-30T00:00:00"/>
    <s v="28 DE SEPTIEMBRE EN ELABORACION DE FPA Y CC_x000a_09-11-2022, Revision FPA Y CC en juridico GAE_x000a_18-11-2022, revisado por asesora GAE con observaciones y pasar a direccion juridica _x000a_24-11-2022, POR INSTRUCCIÓN ASESORES GERENCIA GENERAL PROCESOS QUE NO SE VAN A TRAMITAR HASTA QUE AREA ENTREGUE VF, PROCESOS PARA DEVOLUCION AL AEREA"/>
    <d v="2022-11-30T00:00:00"/>
    <x v="5"/>
    <s v="nov"/>
    <n v="132"/>
    <n v="120"/>
    <m/>
    <s v="INVERSION"/>
    <m/>
    <m/>
    <m/>
    <m/>
    <m/>
    <m/>
    <m/>
    <m/>
    <m/>
    <m/>
    <m/>
    <m/>
    <m/>
    <m/>
    <m/>
    <n v="1"/>
    <m/>
    <m/>
  </r>
  <r>
    <n v="404"/>
    <s v="0447"/>
    <s v="GUENAA"/>
    <d v="2022-07-21T00:00:00"/>
    <x v="7"/>
    <s v="N/A"/>
    <s v="FR-300-GAA-0205-2022"/>
    <s v="N/A"/>
    <s v="Rehabilitación y/o reparación canales y colectores sectores varios Grupo 3 - Losas Canal Carrera 39E"/>
    <n v="720000000"/>
    <m/>
    <s v="900-IPU-0447-2022"/>
    <s v="IPU"/>
    <s v="N/A"/>
    <m/>
    <s v="N/A"/>
    <s v="N/A"/>
    <s v="N/A"/>
    <x v="0"/>
    <s v="HAROLD MONDRAGON"/>
    <d v="2022-08-02T00:00:00"/>
    <e v="#VALUE!"/>
    <e v="#VALUE!"/>
    <m/>
    <s v="ELABORACION OFICIO DEVOLUCION "/>
    <x v="2"/>
    <d v="2022-11-30T00:00:00"/>
    <s v="28 DE SEPTIEMBRE EN ELABORACION DE FPA Y CC_x000a_10-11-2022, se entrega a juridico de la GAE_x000a_24-11-2022, POR INSTRUCCIÓN ASESORES GERENCIA GENERAL PROCESOS QUE NO SE VAN A TRAMITAR HASTA QUE AREA ENTREGUE VF, PROCESOS PARA DEVOLUCION AL AEREA"/>
    <d v="2022-11-30T00:00:00"/>
    <x v="5"/>
    <s v="nov"/>
    <n v="132"/>
    <n v="120"/>
    <m/>
    <s v="INVERSION"/>
    <m/>
    <m/>
    <m/>
    <m/>
    <m/>
    <m/>
    <m/>
    <m/>
    <m/>
    <m/>
    <m/>
    <m/>
    <m/>
    <m/>
    <m/>
    <n v="1"/>
    <m/>
    <m/>
  </r>
  <r>
    <n v="405"/>
    <s v="0448"/>
    <s v="GUENE"/>
    <d v="2022-07-21T00:00:00"/>
    <x v="7"/>
    <s v="GE0335"/>
    <s v="FR-500-GE-0217-2022"/>
    <s v="500-CMA-1743-2021"/>
    <s v="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260921304"/>
    <s v="45 DIAS"/>
    <s v="N/A"/>
    <m/>
    <n v="202204350"/>
    <n v="260921304"/>
    <s v="N/A"/>
    <s v="N/A"/>
    <s v="N/A"/>
    <x v="1"/>
    <s v="ESTEFANIA SANCHEZ"/>
    <d v="2022-07-22T00:00:00"/>
    <e v="#VALUE!"/>
    <e v="#VALUE!"/>
    <s v="SI"/>
    <s v="Entregado al area"/>
    <x v="1"/>
    <m/>
    <m/>
    <d v="2022-09-14T00:00:00"/>
    <x v="11"/>
    <m/>
    <n v="55"/>
    <n v="54"/>
    <s v="N/A"/>
    <s v="FUNCIONAMIENTO"/>
    <s v="500-CMA-1743-2021/500-AO-2207-2022"/>
    <d v="2022-08-25T00:00:00"/>
    <n v="247875096"/>
    <s v="CABLES DE ENERGIA Y TELECOMUNICACIONES SA"/>
    <m/>
    <n v="13046208"/>
    <m/>
    <m/>
    <m/>
    <m/>
    <m/>
    <s v="YUMBO"/>
    <s v="MUNICIPAL"/>
    <s v="UNIDAD DE MANTENIMIENTO"/>
    <n v="5.0000547291454589E-2"/>
    <n v="1"/>
    <n v="0"/>
    <n v="55"/>
  </r>
  <r>
    <n v="406"/>
    <s v="0449"/>
    <s v="GUENAA"/>
    <d v="2022-07-21T00:00:00"/>
    <x v="7"/>
    <s v="GAA0721"/>
    <s v="FR-300-GAA-0195-2022"/>
    <s v="300-CMA-1974-2020"/>
    <s v="Suministro de materiales de ferretería asociados con la ejecución de acometidas de acueducto afines para EMCALI EICE ESP."/>
    <n v="1669573522"/>
    <s v="18 DE NOVIEMBRE 2022"/>
    <s v="N/A"/>
    <m/>
    <n v="202204475"/>
    <n v="1669573522"/>
    <s v="N/A"/>
    <s v="N/A"/>
    <s v="N/A"/>
    <x v="1"/>
    <s v="LUCY ARBELAEZ"/>
    <d v="2022-07-22T00:00:00"/>
    <n v="55"/>
    <n v="54"/>
    <s v="SI"/>
    <s v="Entregado al area"/>
    <x v="1"/>
    <s v="2 DE AGOSTO EN INVITACION A OFERTAR"/>
    <m/>
    <d v="2022-08-31T00:00:00"/>
    <x v="1"/>
    <m/>
    <n v="41"/>
    <n v="40"/>
    <s v="N/A"/>
    <s v="OPERACIÓN"/>
    <s v="300-CMA-1974-2020/300-AO-2199-2022_x000a_300-CMA-2200-2020/300-AO-2199-2022"/>
    <d v="2022-08-24T00:00:00"/>
    <n v="1604867981"/>
    <s v="EQUIPO Y HERRAMIENTAS INDUSTRIALES"/>
    <s v="202207907_x000a_202207902"/>
    <n v="64705541"/>
    <m/>
    <m/>
    <m/>
    <m/>
    <m/>
    <m/>
    <m/>
    <s v="UNIDAD DE SOPORTE OPERATIVO"/>
    <n v="3.8755730219348798E-2"/>
    <n v="1"/>
    <n v="0"/>
    <n v="41"/>
  </r>
  <r>
    <n v="407"/>
    <s v="0450"/>
    <s v="GUENAA"/>
    <d v="2022-07-21T00:00:00"/>
    <x v="7"/>
    <s v="GAA0760"/>
    <s v="FR-300-GAA-0197-2022"/>
    <s v="N/A"/>
    <s v="Acompañamiento en Geotecnia incluyendo asesorías, trabajos de campo, ensayos de Laboratorio e informes tecnicos requeridos para el desarrollo de evaluaciones Geotecnicas 2022"/>
    <n v="99967140"/>
    <m/>
    <s v="900-IP-0450-2022"/>
    <s v="IP-"/>
    <n v="202201991"/>
    <m/>
    <s v="N/A"/>
    <s v="N/A"/>
    <s v="N/A"/>
    <x v="2"/>
    <s v="LINA ECHAVARRIA"/>
    <d v="2022-07-27T00:00:00"/>
    <e v="#VALUE!"/>
    <e v="#VALUE!"/>
    <s v="NO"/>
    <s v="Devuelto"/>
    <x v="2"/>
    <m/>
    <s v="1 DE AGOSTO SOLICITUD DE CONCEPTOS"/>
    <d v="2022-09-15T00:00:00"/>
    <x v="5"/>
    <s v="sep"/>
    <n v="56"/>
    <n v="50"/>
    <s v="G"/>
    <s v="FUNCIONAMIENTO"/>
    <m/>
    <m/>
    <m/>
    <m/>
    <m/>
    <m/>
    <m/>
    <m/>
    <m/>
    <m/>
    <m/>
    <m/>
    <m/>
    <m/>
    <m/>
    <n v="1"/>
    <m/>
    <m/>
  </r>
  <r>
    <n v="408"/>
    <s v="0451"/>
    <s v="GUENAA"/>
    <d v="2022-07-21T00:00:00"/>
    <x v="7"/>
    <s v="GAA0759"/>
    <s v="FR-300-GAA-0198-2022"/>
    <s v="N/A"/>
    <s v="Levantamientos Planimetricos y Altimetricos Topograficos año 2022, para proyectos priorizados GUENAA de Acuaducto y Alcantarillado."/>
    <n v="119994840"/>
    <m/>
    <s v="900-IP-0451-2022"/>
    <s v="IP-"/>
    <n v="202201992"/>
    <m/>
    <s v="N/A"/>
    <s v="N/A"/>
    <s v="N/A"/>
    <x v="2"/>
    <s v="LINA ECHAVARRIA"/>
    <d v="2022-07-27T00:00:00"/>
    <e v="#VALUE!"/>
    <e v="#VALUE!"/>
    <s v="NO"/>
    <s v="Cerrado"/>
    <x v="0"/>
    <m/>
    <s v="1 DE AGOSTO SOLICITUD DE CONCEPTOS"/>
    <d v="2022-09-30T00:00:00"/>
    <x v="5"/>
    <s v="sep"/>
    <n v="71"/>
    <n v="65"/>
    <m/>
    <s v="FUNCIONAMIENTO"/>
    <m/>
    <m/>
    <m/>
    <m/>
    <m/>
    <m/>
    <m/>
    <m/>
    <m/>
    <m/>
    <m/>
    <m/>
    <m/>
    <m/>
    <m/>
    <n v="1"/>
    <m/>
    <m/>
  </r>
  <r>
    <n v="409"/>
    <s v="0452"/>
    <s v="GUENAA"/>
    <d v="2022-07-21T00:00:00"/>
    <x v="7"/>
    <s v="GAA0300"/>
    <s v="FR-300-GAA-0206-2022"/>
    <s v="N/A"/>
    <s v="Realizar el mantenimiento de los equipos menores de la Unidad de Atención Operativa."/>
    <n v="470000000"/>
    <s v="31 DE DICIEMBRE 2022"/>
    <s v="900-IP-0452-2022"/>
    <m/>
    <n v="202204480"/>
    <n v="470000000"/>
    <s v="N/A"/>
    <s v="N/A"/>
    <s v="N/A"/>
    <x v="2"/>
    <s v="HAROLD MONDRAGON"/>
    <d v="2022-07-29T00:00:00"/>
    <e v="#VALUE!"/>
    <e v="#VALUE!"/>
    <s v="SI"/>
    <s v="Entregado al area"/>
    <x v="1"/>
    <s v="1 de agosto en solicitud de conceptos"/>
    <m/>
    <d v="2022-09-09T00:00:00"/>
    <x v="11"/>
    <m/>
    <n v="50"/>
    <n v="42"/>
    <s v="G"/>
    <s v="FUNCIONAMIENTO"/>
    <s v="300-AO-2240-2022"/>
    <d v="2022-09-02T00:00:00"/>
    <n v="469113156"/>
    <s v="TALLERES BRIG LTDA"/>
    <n v="202208320"/>
    <n v="886844"/>
    <m/>
    <m/>
    <m/>
    <m/>
    <m/>
    <s v="CALI"/>
    <s v="LOCAL"/>
    <s v="UNIDAD DE ATENCIÓN OPERATIVA"/>
    <n v="1.8869021276595745E-3"/>
    <n v="1"/>
    <n v="1"/>
    <n v="36"/>
  </r>
  <r>
    <n v="410"/>
    <s v="0453"/>
    <s v="GUENAA"/>
    <d v="2022-07-21T00:00:00"/>
    <x v="7"/>
    <s v="PENDIENTE"/>
    <s v="FR-300-GAA-0067-2022"/>
    <s v="N/A"/>
    <s v="Mantenimiento a Equipos Electrogenos marca Cummins pertenecientes a las Estaciones de Bombeo de Aguas Lluvias y/o Residuales."/>
    <n v="149539291"/>
    <s v="18 DE NOVIEMBRE 2022"/>
    <s v="900-IP-0453-2022"/>
    <m/>
    <n v="202201834"/>
    <m/>
    <s v="N/A"/>
    <s v="N/A"/>
    <s v="N/A"/>
    <x v="2"/>
    <s v="ANA MARIA GIL"/>
    <d v="2022-08-04T00:00:00"/>
    <n v="55"/>
    <n v="41"/>
    <s v="SI"/>
    <s v="Entregado al area"/>
    <x v="1"/>
    <s v="2 DE AGOSTO SE ASIGNARA A OTRO GESTOR 4 DE AGOSTO REASIGNADO A ANA MARIA GIL Y SE ENCUENTRA EN INVITACION A OFERTAR"/>
    <m/>
    <d v="2022-08-31T00:00:00"/>
    <x v="1"/>
    <m/>
    <n v="41"/>
    <n v="27"/>
    <s v="G"/>
    <s v="FUNCIONAMIENTO"/>
    <s v="300-AO-2102-2022"/>
    <d v="2022-08-10T00:00:00"/>
    <n v="149539291"/>
    <s v="TECNODIESEL SAS"/>
    <n v="202207799"/>
    <n v="0"/>
    <m/>
    <m/>
    <m/>
    <m/>
    <m/>
    <s v="YUMBO"/>
    <s v="MUNICIPAL"/>
    <s v="UNIDAD DE BOMBEO"/>
    <n v="0"/>
    <n v="1"/>
    <n v="1"/>
    <n v="29"/>
  </r>
  <r>
    <n v="411"/>
    <s v="0454"/>
    <s v="GTI"/>
    <d v="2022-07-22T00:00:00"/>
    <x v="7"/>
    <s v="PENDIENTE"/>
    <s v="FR-200-GTI-0104-2022"/>
    <s v="N/A"/>
    <s v="Suscripción por un año, para obtener los servicios de soporte remoto, solución de fallas, actualización de software parches de seguridad entre otros sobre licenciamiento Liferay que soporta el portal y la Intranet de EMCALI"/>
    <n v="295048440"/>
    <s v="28 de noviembre 2022"/>
    <s v="900-IP-0454-2022"/>
    <m/>
    <s v="202201910_x000a_202203591"/>
    <n v="295048440"/>
    <s v="N/A"/>
    <s v="N/A"/>
    <s v="N/A"/>
    <x v="2"/>
    <s v="PAOLA BELTRAN"/>
    <d v="2022-07-22T00:00:00"/>
    <n v="54"/>
    <n v="54"/>
    <s v="SI"/>
    <s v="Entregado al area"/>
    <x v="1"/>
    <s v="1 DE AGOSTO EN RECEPCION DE COTIZACIONES"/>
    <m/>
    <d v="2022-08-26T00:00:00"/>
    <x v="1"/>
    <m/>
    <n v="35"/>
    <n v="35"/>
    <s v="G"/>
    <s v="FUNCIONAMIENTO"/>
    <s v="200-AO-2186-2022"/>
    <d v="2022-08-23T00:00:00"/>
    <n v="279925485"/>
    <s v="ENTELGY COLOMBIA  SAS"/>
    <n v="202207894"/>
    <n v="15122955"/>
    <m/>
    <m/>
    <m/>
    <m/>
    <m/>
    <s v="BOGOTA"/>
    <s v="LOCAL"/>
    <s v="GTI"/>
    <n v="5.1255837854963751E-2"/>
    <n v="0"/>
    <n v="1"/>
    <n v="25"/>
  </r>
  <r>
    <n v="412"/>
    <s v="0455"/>
    <s v="GUENE"/>
    <d v="2022-07-22T00:00:00"/>
    <x v="7"/>
    <s v="PENDIENTE"/>
    <s v="FR-500-GE-0116-2022"/>
    <s v="N/A"/>
    <s v="Calibración de equipos de prueba de medidores - EPM y un patrón Trifásico Multifunción, en la magnitud de energía eléctrica"/>
    <n v="62492850"/>
    <s v="90 dias"/>
    <s v="900-IP-0455-2022"/>
    <m/>
    <n v="202201684"/>
    <m/>
    <s v="N/A"/>
    <s v="N/A"/>
    <s v="N/A"/>
    <x v="2"/>
    <s v="LINA ECHAVARRIA"/>
    <d v="2022-07-22T00:00:00"/>
    <n v="54"/>
    <n v="54"/>
    <s v="SI"/>
    <s v="Entregado al area"/>
    <x v="1"/>
    <s v="1 DE AGOSTO EN INVITACION A OFERTAR"/>
    <m/>
    <d v="2022-08-22T00:00:00"/>
    <x v="1"/>
    <m/>
    <n v="31"/>
    <n v="31"/>
    <s v="G"/>
    <s v="FUNCIONAMIENTO"/>
    <s v="500-AO-2091-2022"/>
    <d v="2022-08-08T00:00:00"/>
    <n v="62490471"/>
    <s v="DIGITRON LIMITADA"/>
    <n v="202207847"/>
    <n v="2379"/>
    <m/>
    <m/>
    <m/>
    <m/>
    <m/>
    <s v="BOGOTA"/>
    <s v="LOCAL"/>
    <s v="UNIDAD DE SERVICIOS COMPLEMENTARIOS"/>
    <n v="3.8068355019814269E-5"/>
    <n v="1"/>
    <n v="1"/>
    <n v="21"/>
  </r>
  <r>
    <n v="413"/>
    <s v="0456"/>
    <s v="GAGHA"/>
    <d v="2022-07-22T00:00:00"/>
    <x v="7"/>
    <s v="GHA0262"/>
    <s v="FR-800-GHA-0175-2022"/>
    <s v="800-CMA-1914-2021"/>
    <s v="Realizar las actividades necesarias para llevar a cabo las adecuaciones locativas y mantenimiento preventivos y correctivos en la Gerencia Estrategica de Negocio de Acueducto y Alcantarillado - Reparación Cubiertas Planta PTAR-C"/>
    <n v="299978782"/>
    <s v="31 DE DICIEMBRE 2022"/>
    <s v="N/A"/>
    <m/>
    <n v="202202408"/>
    <n v="300000000"/>
    <s v="N/A"/>
    <s v="N/A"/>
    <s v="N/A"/>
    <x v="1"/>
    <s v="ESTEFANIA SANCHEZ"/>
    <d v="2022-07-22T00:00:00"/>
    <e v="#VALUE!"/>
    <e v="#VALUE!"/>
    <s v="SI"/>
    <s v="Entregado al area"/>
    <x v="1"/>
    <m/>
    <m/>
    <d v="2022-09-13T00:00:00"/>
    <x v="11"/>
    <m/>
    <n v="53"/>
    <n v="53"/>
    <s v="N/A"/>
    <s v="FUNCIONAMIENTO"/>
    <s v="800-CMA-1914-2021/800-AO-2258-2022"/>
    <d v="2022-09-07T00:00:00"/>
    <n v="284979354"/>
    <s v="MAURICIO TABARES OSSA"/>
    <m/>
    <n v="14999428"/>
    <m/>
    <m/>
    <m/>
    <m/>
    <m/>
    <s v="CALI"/>
    <s v="LOCAL"/>
    <s v="UNIDAD DE GESTION ADMINISTRATIVA"/>
    <n v="5.0001629781935709E-2"/>
    <n v="0"/>
    <n v="0"/>
    <n v="53"/>
  </r>
  <r>
    <n v="414"/>
    <s v="0457"/>
    <s v="GAGHA"/>
    <d v="2022-07-22T00:00:00"/>
    <x v="7"/>
    <s v="GHA0068"/>
    <s v="FR-800-GHA-0156-2022"/>
    <s v="N/A"/>
    <s v="Realizar la compra de Café y Azúcar para el cumplimiento de las funciones administrativas propias de EMCALI EICE ESP."/>
    <n v="118510110"/>
    <m/>
    <s v="900-IP-0457-2022"/>
    <s v="IP-"/>
    <s v="202204454_x000a_202203557_x000a_202203532_x000a_202203531_x000a_202203533"/>
    <m/>
    <s v="N/A"/>
    <s v="N/A"/>
    <s v="N/A"/>
    <x v="2"/>
    <s v="ANA MARIA GIL"/>
    <d v="2022-08-04T00:00:00"/>
    <e v="#VALUE!"/>
    <e v="#VALUE!"/>
    <s v="NO"/>
    <s v="Devuelto"/>
    <x v="2"/>
    <m/>
    <s v="2 DE AGOSTO SE ASIGNARA A OTRO GESTOR 4 DE AGOSTO REASIGNADO A ANA MARIA GIL Y SE ENCUENTRA EN SOLICITUD DE CONCEPTOS_x000a_18 de agosto en espra de informacion por parte del area para modificar cantidades porque las cotizacion rebasaron el presupuesto_x000a_"/>
    <d v="2022-09-15T00:00:00"/>
    <x v="5"/>
    <s v="sep"/>
    <n v="55"/>
    <n v="42"/>
    <s v="G"/>
    <s v="FUNCIONAMIENTO"/>
    <m/>
    <m/>
    <m/>
    <m/>
    <m/>
    <m/>
    <m/>
    <m/>
    <m/>
    <m/>
    <m/>
    <m/>
    <m/>
    <m/>
    <m/>
    <n v="0"/>
    <m/>
    <m/>
  </r>
  <r>
    <n v="415"/>
    <s v="0458"/>
    <s v="GAGHA"/>
    <d v="2022-07-22T00:00:00"/>
    <x v="7"/>
    <s v="GHA0261"/>
    <s v="FR-800-GHA-0174-2022"/>
    <s v="800-CMA-1914-2021"/>
    <s v="Realizar las actividades necesarias para llevar a cabo las adecuaciones locativas y mantenimiento preventivos y correctivos en la Gerencia Estrategica de Negocio de Acueducto y Alcantarillado - Mantenimiento de cubierta y construcción de filtros Sede Alcantarillado."/>
    <n v="570074465"/>
    <s v="31 DE DICIEMBRE 2022"/>
    <s v="N/A"/>
    <m/>
    <s v="202203916_x000a_202203917"/>
    <n v="570074465"/>
    <s v="N/A"/>
    <s v="N/A"/>
    <s v="N/A"/>
    <x v="1"/>
    <s v="ESTEFANIA SANCHEZ"/>
    <d v="2022-07-22T00:00:00"/>
    <e v="#VALUE!"/>
    <e v="#VALUE!"/>
    <s v="SI"/>
    <s v="Entregado al area"/>
    <x v="1"/>
    <m/>
    <m/>
    <d v="2022-09-20T00:00:00"/>
    <x v="11"/>
    <m/>
    <n v="60"/>
    <n v="60"/>
    <s v="N/A"/>
    <s v="FUNCIONAMIENTO"/>
    <s v="800-CMA-1914-2021/800-AO-2260-2022"/>
    <d v="2022-09-07T00:00:00"/>
    <n v="541573954"/>
    <s v=" Unión Temporal M&amp;C2021"/>
    <n v="202208356"/>
    <n v="28500511"/>
    <m/>
    <m/>
    <m/>
    <m/>
    <m/>
    <s v="CALI"/>
    <s v="LOCAL"/>
    <s v="UNIDAD DE GESTION ADMINISTRATIVA"/>
    <n v="4.9994365209815178E-2"/>
    <n v="0"/>
    <n v="0"/>
    <n v="60"/>
  </r>
  <r>
    <n v="416"/>
    <s v="0459"/>
    <s v="GUENE"/>
    <d v="2022-07-22T00:00:00"/>
    <x v="7"/>
    <s v="PENDIENTE"/>
    <s v="FR-500-GE-0197-2022"/>
    <s v="N/A"/>
    <s v="Suministro de Medidores de Energía Electronicos para Medida Directa"/>
    <n v="667336173"/>
    <s v="28 de noviembre 2022"/>
    <s v="900-IP-0459-2022"/>
    <m/>
    <n v="202203902"/>
    <m/>
    <s v="N/A"/>
    <s v="N/A"/>
    <s v="N/A"/>
    <x v="2"/>
    <s v="LINA ECHAVARRIA"/>
    <d v="2022-07-22T00:00:00"/>
    <n v="54"/>
    <n v="54"/>
    <s v="SI"/>
    <s v="Entregado al area"/>
    <x v="1"/>
    <s v="1 DE AGOSTO EN EVALUACION DE LA OFERTA"/>
    <m/>
    <d v="2022-08-17T00:00:00"/>
    <x v="1"/>
    <m/>
    <n v="26"/>
    <n v="26"/>
    <s v="B"/>
    <s v="OPERACIÓN"/>
    <s v="500-AO-2081-2022_x000a_500-AO-2198-2022"/>
    <s v="03/08/2022_x000a_27/08/2022"/>
    <n v="667221076"/>
    <s v="INELCA SAS_x000a_RYMEL  INGENIERIA ELECTRICA SAS"/>
    <n v="202207671"/>
    <n v="115097"/>
    <m/>
    <m/>
    <m/>
    <m/>
    <m/>
    <s v="CALI"/>
    <s v="LOCAL"/>
    <s v="UNIDAD DE CONTROL DE ENERGÍA"/>
    <n v="1.724722930612065E-4"/>
    <n v="1"/>
    <n v="1"/>
    <n v="18"/>
  </r>
  <r>
    <n v="417"/>
    <s v="0460"/>
    <s v="GUENT"/>
    <d v="2022-07-25T00:00:00"/>
    <x v="7"/>
    <s v="GT0186_x000a_GT0170"/>
    <s v="FR-400-GT-0150-2022"/>
    <s v="N/A"/>
    <s v="Adquirir equipos para radio enlaces en las bandas de frecuencia no licenciada para ampliar la red de acceso inalámbrica."/>
    <n v="280179462"/>
    <s v="28 DE NOVIEMBRE 2022"/>
    <s v="900-IP-0460-2022"/>
    <m/>
    <s v="202204426_x000a_202202413"/>
    <n v="250000000"/>
    <s v="N/A"/>
    <s v="N/A"/>
    <s v="N/A"/>
    <x v="2"/>
    <s v="HAROLD MONDRAGON"/>
    <d v="2022-07-29T00:00:00"/>
    <e v="#VALUE!"/>
    <e v="#VALUE!"/>
    <s v="SI"/>
    <s v="Entregado al area"/>
    <x v="1"/>
    <s v="1 de agosto en solicitud de conceptos"/>
    <m/>
    <d v="2022-09-12T00:00:00"/>
    <x v="11"/>
    <m/>
    <n v="49"/>
    <n v="45"/>
    <s v="G"/>
    <s v="INVERSION"/>
    <s v="400-AO-2245-2022"/>
    <d v="2022-09-05T00:00:00"/>
    <n v="280005455"/>
    <s v="MAICROTEL SAS"/>
    <n v="202208316"/>
    <n v="174007"/>
    <m/>
    <m/>
    <m/>
    <m/>
    <m/>
    <s v="BOGOTA"/>
    <s v="NACIONAL"/>
    <s v="SUBGERENCIA OPERATIVA"/>
    <n v="6.2105551476860212E-4"/>
    <n v="1"/>
    <n v="1"/>
    <n v="35"/>
  </r>
  <r>
    <n v="418"/>
    <s v="0461"/>
    <s v="GAGHA"/>
    <d v="2022-08-08T00:00:00"/>
    <x v="8"/>
    <s v="GHA0279_x000a_GHA0280"/>
    <s v="FR-800-GAGHA-138-2022"/>
    <s v="N/A"/>
    <s v=" un (1) carrotanque "/>
    <n v="406259000"/>
    <m/>
    <s v="900-IP-0461-2022"/>
    <s v="IP-"/>
    <s v="202202571_x000a_202202573_x000a_202202574_x000a_202202575"/>
    <m/>
    <s v="N/A"/>
    <s v="N/A"/>
    <s v="N/A"/>
    <x v="2"/>
    <s v="LEIDY DIANA FRANCO"/>
    <d v="2022-07-26T00:00:00"/>
    <e v="#VALUE!"/>
    <e v="#VALUE!"/>
    <s v="NO"/>
    <s v="Devuelto"/>
    <x v="2"/>
    <m/>
    <s v="Por presupuesto"/>
    <d v="2022-08-03T00:00:00"/>
    <x v="5"/>
    <s v="ago"/>
    <n v="-5"/>
    <n v="8"/>
    <m/>
    <s v="FUNCIONAMIENTO"/>
    <m/>
    <m/>
    <m/>
    <m/>
    <m/>
    <m/>
    <m/>
    <m/>
    <m/>
    <m/>
    <m/>
    <m/>
    <m/>
    <m/>
    <m/>
    <n v="0"/>
    <m/>
    <m/>
  </r>
  <r>
    <n v="419"/>
    <s v="0462"/>
    <s v="GUENE"/>
    <d v="2022-07-26T00:00:00"/>
    <x v="7"/>
    <s v="GE0359"/>
    <s v="FR-500-GE-0224-2022"/>
    <s v="N/A"/>
    <s v="Suministro e instalación de persianas en el Edificio de Telecontrol"/>
    <n v="18199839"/>
    <m/>
    <s v="900-IP-0462-2022"/>
    <s v="IP-"/>
    <n v="202203107"/>
    <m/>
    <s v="N/A"/>
    <s v="N/A"/>
    <s v="N/A"/>
    <x v="2"/>
    <s v="JULIO ERNESTO GARCIA"/>
    <d v="2022-07-27T00:00:00"/>
    <e v="#VALUE!"/>
    <e v="#VALUE!"/>
    <m/>
    <s v="Cerrado"/>
    <x v="0"/>
    <d v="2022-12-22T00:00:00"/>
    <s v="2 de agosto esperando ajuste de las especificaciones de parte del area_x000a_29 DE SEPTIEMBRE EN ESPERA DE LA REVISION DE LA FPA_x000a_12-11-2022, LO TIENE PARA REVISION MARCIA _x000a_22-12-2022,Se realiza Acta de Terminación Anticipada por Mutuo Acuerdo en razón a que el proveedor no alcanza a ejecutar el contrato dentro de la presente vigencia fiscal."/>
    <d v="2022-12-22T00:00:00"/>
    <x v="5"/>
    <s v="dic"/>
    <n v="149"/>
    <n v="148"/>
    <m/>
    <s v="INVERSION"/>
    <m/>
    <m/>
    <m/>
    <m/>
    <m/>
    <m/>
    <m/>
    <m/>
    <m/>
    <m/>
    <m/>
    <m/>
    <m/>
    <m/>
    <m/>
    <n v="1"/>
    <m/>
    <m/>
  </r>
  <r>
    <n v="420"/>
    <s v="0463"/>
    <s v="GUENTIC"/>
    <d v="2022-07-27T00:00:00"/>
    <x v="7"/>
    <s v="GT0164"/>
    <s v="FR-400-GT-0178-2022"/>
    <s v="N/A"/>
    <s v="Soporte técnico requerido para la operación, administración y manejo de la plataforma, incluyendo transferencia de conocimiento hacia el personal encargado de Zabbix en EMCALI EICE ESP"/>
    <n v="129108545"/>
    <m/>
    <s v="900-IP-0463-2022"/>
    <s v="IP-"/>
    <n v="202205066"/>
    <m/>
    <s v="N/A"/>
    <s v="N/A"/>
    <s v="N/A"/>
    <x v="2"/>
    <s v="JULIETA ORTIZ"/>
    <d v="2022-07-27T00:00:00"/>
    <e v="#VALUE!"/>
    <e v="#VALUE!"/>
    <s v="NO"/>
    <s v="Devuelto"/>
    <x v="2"/>
    <m/>
    <s v="2 DE AGOSTO EN COTIZACIONES 5 de agosto en revision de fpa e invitacion"/>
    <d v="2022-08-10T00:00:00"/>
    <x v="5"/>
    <s v="ago"/>
    <n v="14"/>
    <n v="14"/>
    <m/>
    <s v="FUNCIONAMIENTO"/>
    <m/>
    <m/>
    <m/>
    <m/>
    <m/>
    <m/>
    <m/>
    <m/>
    <m/>
    <m/>
    <m/>
    <m/>
    <m/>
    <m/>
    <m/>
    <n v="0"/>
    <m/>
    <m/>
  </r>
  <r>
    <n v="421"/>
    <s v="0464"/>
    <s v="GUENT"/>
    <d v="2022-07-27T00:00:00"/>
    <x v="7"/>
    <s v="GT0142"/>
    <s v="FR-400-GT-0175-2022"/>
    <s v="N/A"/>
    <s v="Suministro de gases industriales para soldadura y mantenimiento requeridos para el mantenimiento predictivo, preventivo y correctivo de los equipos de aire acondicionado de las centrales telefónicas de EMCALI EICE ESP"/>
    <n v="5086714"/>
    <m/>
    <s v="900-IP-0464-2022"/>
    <s v="IP-"/>
    <n v="202202928"/>
    <m/>
    <s v="N/A"/>
    <s v="N/A"/>
    <s v="N/A"/>
    <x v="2"/>
    <s v="JULIO ERNESTO GARCIA"/>
    <d v="2022-07-29T00:00:00"/>
    <e v="#VALUE!"/>
    <e v="#VALUE!"/>
    <s v="NO"/>
    <s v="Adjudicacion"/>
    <x v="1"/>
    <d v="2022-11-30T00:00:00"/>
    <s v="2 de agosto en solicitud de conceptos_x000a_29 DE AGOSTO SE CIERRA PORQUE EL PROVEEDOR DESISITIO _x000a_12-11-2022,Pendiente envío póliza de cumplimiento por parte del proveedor"/>
    <d v="2022-11-21T00:00:00"/>
    <x v="13"/>
    <s v="nov"/>
    <n v="117"/>
    <n v="115"/>
    <s v="G"/>
    <s v="FUNCIONAMIENTO"/>
    <s v="400-AO-2298-2022"/>
    <d v="2022-09-15T00:00:00"/>
    <n v="4694074"/>
    <s v="SUMINISTROS E INSUMOS INDUSTRIALES LTDA"/>
    <n v="202208443"/>
    <n v="392640"/>
    <m/>
    <m/>
    <m/>
    <m/>
    <m/>
    <m/>
    <m/>
    <m/>
    <n v="7.7189321043015194E-2"/>
    <n v="1"/>
    <n v="1"/>
    <n v="56"/>
  </r>
  <r>
    <n v="422"/>
    <s v="0465"/>
    <s v="GUENT"/>
    <d v="2022-07-27T00:00:00"/>
    <x v="7"/>
    <s v="GT0145"/>
    <s v="FR-400-GT-0191-2022"/>
    <s v="N/A"/>
    <s v="Suministro de filtros y aceites para el mantenimiento preventivo y correctivo de los equipos activos de las Centrales telefónicas de EMCALI EICE ESP"/>
    <n v="14525687"/>
    <s v="28 DE NOVIEMBRE 2022"/>
    <s v="900-IP-0465-2022"/>
    <m/>
    <n v="202202997"/>
    <m/>
    <s v="N/A"/>
    <s v="N/A"/>
    <s v="N/A"/>
    <x v="2"/>
    <s v="JHON LARRY "/>
    <d v="2022-07-29T00:00:00"/>
    <e v="#VALUE!"/>
    <e v="#VALUE!"/>
    <s v="SI"/>
    <s v="Entregado al area"/>
    <x v="1"/>
    <s v="2 DE AGOSTO EN SOLICITUD DE CONCEPTOS. 5 DE AGOSTO EN COTIZACION"/>
    <m/>
    <d v="2022-09-19T00:00:00"/>
    <x v="11"/>
    <m/>
    <n v="54"/>
    <n v="52"/>
    <s v="G"/>
    <s v="FUNCIONAMIENTO"/>
    <s v="400-AO-2295-2022"/>
    <d v="2022-09-15T00:00:00"/>
    <n v="13762090"/>
    <s v="MUNDIAL DE FILTROS Y ACEITES SAS"/>
    <n v="202208440"/>
    <n v="763597"/>
    <m/>
    <m/>
    <m/>
    <m/>
    <m/>
    <s v="CALI"/>
    <s v="LOCAL"/>
    <s v="SUBGERENCIA OPERATIVA"/>
    <n v="5.2568735647408625E-2"/>
    <n v="1"/>
    <n v="1"/>
    <n v="26"/>
  </r>
  <r>
    <n v="423"/>
    <s v="0466"/>
    <s v="GUENE"/>
    <d v="2022-07-27T00:00:00"/>
    <x v="7"/>
    <s v="GE0281"/>
    <s v="FR-500-GE-0220-2022"/>
    <s v="N/A"/>
    <s v="Suministro de Vehículos 100% eléctricos con base en las Especificaciones Técnicas"/>
    <n v="653117854"/>
    <m/>
    <s v="900-IPU-0466-2022"/>
    <s v="IPU"/>
    <n v="202204431"/>
    <m/>
    <s v="N/A"/>
    <s v="N/A"/>
    <s v="N/A"/>
    <x v="0"/>
    <s v="JUAN DAVID GOMEZ"/>
    <d v="2022-11-08T00:00:00"/>
    <e v="#VALUE!"/>
    <e v="#VALUE!"/>
    <m/>
    <s v="Cerrado"/>
    <x v="0"/>
    <d v="2022-12-12T00:00:00"/>
    <s v="3 de agosto reasignado a laura pimienta_x000a_28 DE SEPTIEMBRE A LA ESPERA DE LA PROPUESTA POR PARTE DEL PROVEEDOR_x000a_12-12-2022, EL PROCESO SE CERRO POR NO PRESENTARSE OFERTAS AL PROCESO "/>
    <d v="2022-12-12T00:00:00"/>
    <x v="5"/>
    <s v="dic"/>
    <n v="138"/>
    <n v="34"/>
    <s v="L"/>
    <s v="FUNCIONAMIENTO"/>
    <m/>
    <m/>
    <m/>
    <m/>
    <m/>
    <m/>
    <m/>
    <m/>
    <m/>
    <m/>
    <m/>
    <m/>
    <m/>
    <m/>
    <m/>
    <n v="1"/>
    <m/>
    <m/>
  </r>
  <r>
    <n v="424"/>
    <s v="0467"/>
    <s v="GUENE"/>
    <d v="2022-07-27T00:00:00"/>
    <x v="7"/>
    <s v="GE0275"/>
    <s v="FR-500-GE-0230-2022"/>
    <s v="500-CMA-1743-2021"/>
    <s v="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691395355"/>
    <s v="45 DIAS"/>
    <s v="N/A"/>
    <m/>
    <n v="202205361"/>
    <n v="691395355"/>
    <s v="N/A"/>
    <s v="N/A"/>
    <s v="N/A"/>
    <x v="1"/>
    <s v="ESTEFANIA SANCHEZ"/>
    <d v="2022-07-27T00:00:00"/>
    <n v="104"/>
    <n v="104"/>
    <s v="SI"/>
    <s v="Entregado al area"/>
    <x v="1"/>
    <s v="28 DE SEPTIEMBRE EN SOLCIITUD DE POLIZAS"/>
    <m/>
    <d v="2022-10-04T00:00:00"/>
    <x v="12"/>
    <n v="69"/>
    <m/>
    <n v="69"/>
    <s v="N/A"/>
    <s v="OPERACIÓN_x000a_INVERSION"/>
    <s v="500-CMA-1743-2021/500-AO-2380-2022"/>
    <d v="2022-09-15T00:00:00"/>
    <n v="691395355"/>
    <s v="CENTELSA SA"/>
    <n v="202208523"/>
    <n v="0"/>
    <s v="YUMBO"/>
    <s v="MUNICIPAL"/>
    <m/>
    <m/>
    <m/>
    <m/>
    <m/>
    <m/>
    <n v="0"/>
    <n v="1"/>
    <n v="0"/>
    <n v="69"/>
  </r>
  <r>
    <n v="425"/>
    <s v="0468"/>
    <s v="GUENAA"/>
    <d v="2022-07-28T00:00:00"/>
    <x v="7"/>
    <s v="GAA0085"/>
    <s v="FR-300-GAA-0207-2022"/>
    <s v="N/A"/>
    <s v="Realizar calibración en sitio de RVM, rotametros y Caudalimetros instalados en los Bancos de Calibración del Laboratorio de Medidores Acueducto"/>
    <n v="34807500"/>
    <s v="31 DE DICIEMBRE 2022"/>
    <s v="900-IP-0468-2022"/>
    <m/>
    <n v="202202257"/>
    <n v="35000000"/>
    <s v="N/A"/>
    <s v="N/A"/>
    <s v="N/A"/>
    <x v="2"/>
    <s v="IVAN ALDANA"/>
    <d v="2022-07-29T00:00:00"/>
    <e v="#VALUE!"/>
    <e v="#VALUE!"/>
    <s v="SI"/>
    <s v="Entregado al area"/>
    <x v="1"/>
    <s v="2 DE AGOSTO EN SOLCIITUD DE COTIZACION. 5 DE AGOSTO EN ELABORACION DE FPA E INVITACION."/>
    <m/>
    <d v="2022-09-08T00:00:00"/>
    <x v="11"/>
    <m/>
    <n v="42"/>
    <n v="41"/>
    <s v="G"/>
    <s v="FUNCIONAMIENTO"/>
    <s v="300-AO-2214-2022"/>
    <d v="2022-08-26T00:00:00"/>
    <n v="34807500"/>
    <s v="VOLUMED SAS"/>
    <n v="202208272"/>
    <n v="0"/>
    <m/>
    <m/>
    <m/>
    <m/>
    <m/>
    <s v="BOGOTA"/>
    <s v="NACIONAL"/>
    <s v="LABORATORIO DE MEDIDORES ACUEDUCTO"/>
    <n v="0"/>
    <n v="1"/>
    <n v="1"/>
    <n v="30"/>
  </r>
  <r>
    <n v="426"/>
    <s v="0469"/>
    <s v="GUENAA"/>
    <d v="2022-07-28T00:00:00"/>
    <x v="7"/>
    <s v="GAA0673"/>
    <s v="FR-300-GAA-0208-2022"/>
    <s v="N/A"/>
    <s v="Mantenimiento Tanque Subterraneo usado para el almacenamiento de Agua Potable del Laboratorio de Medidores Acueducto."/>
    <n v="26188501"/>
    <m/>
    <s v="900-IP-0469-2022"/>
    <s v="IP-"/>
    <n v="202205245"/>
    <m/>
    <s v="N/A"/>
    <s v="N/A"/>
    <s v="N/A"/>
    <x v="2"/>
    <s v="MARIA CAMILA OLIVEROS"/>
    <d v="2022-07-29T00:00:00"/>
    <e v="#VALUE!"/>
    <e v="#VALUE!"/>
    <s v="NO"/>
    <s v="Devuelto"/>
    <x v="2"/>
    <d v="2022-11-12T00:00:00"/>
    <s v="28 DE SEPTIEMBRE EN ACEPTACION DE OFERTA"/>
    <d v="2022-10-12T00:00:00"/>
    <x v="5"/>
    <s v="oct"/>
    <n v="76"/>
    <n v="75"/>
    <m/>
    <s v="FUNCIONAMIENTO"/>
    <m/>
    <m/>
    <m/>
    <m/>
    <m/>
    <m/>
    <m/>
    <m/>
    <m/>
    <m/>
    <m/>
    <m/>
    <m/>
    <m/>
    <m/>
    <n v="1"/>
    <m/>
    <m/>
  </r>
  <r>
    <n v="427"/>
    <s v="0470"/>
    <s v="GUENAA"/>
    <d v="2022-07-28T00:00:00"/>
    <x v="7"/>
    <s v="GAA0678_x000a_GAA0058"/>
    <s v="FR-300-GAA-0209-2022"/>
    <s v="N/A"/>
    <s v="Mantenimiento Tanque Elevado usado para el almacenamiento de Agua Potable del Laboratorio de Medidores Acueducto."/>
    <n v="47253260"/>
    <s v="90 DIAS"/>
    <s v="900-IP-0470-2022"/>
    <m/>
    <s v="202202232_x000a_202202231_x000a_202202226"/>
    <n v="47253260"/>
    <s v="N/A"/>
    <s v="N/A"/>
    <s v="N/A"/>
    <x v="2"/>
    <s v="CAMILO NUÑEZ"/>
    <d v="2022-07-29T00:00:00"/>
    <e v="#VALUE!"/>
    <e v="#VALUE!"/>
    <s v="SI"/>
    <s v="Entregado al area"/>
    <x v="1"/>
    <s v="1 DE AGOSTO ENNSOLICITUD DE CONCEPTOS"/>
    <m/>
    <d v="2022-09-27T00:00:00"/>
    <x v="11"/>
    <m/>
    <n v="61"/>
    <n v="60"/>
    <s v="G"/>
    <s v="FUNCIONAMIENTO"/>
    <s v="300-AO-2341-2022"/>
    <d v="2022-09-15T00:00:00"/>
    <n v="46151260"/>
    <s v="COMACON APLICACIONES SAS"/>
    <n v="202208543"/>
    <n v="1102000"/>
    <m/>
    <m/>
    <m/>
    <m/>
    <m/>
    <s v="CALI"/>
    <s v="LOCAL"/>
    <s v="LABORATORIO DE MEDIDORES ACUEDUCTO"/>
    <n v="2.3321142287325784E-2"/>
    <n v="1"/>
    <n v="1"/>
    <n v="43"/>
  </r>
  <r>
    <n v="428"/>
    <s v="0471"/>
    <s v="GUENAA"/>
    <d v="2022-07-28T00:00:00"/>
    <x v="7"/>
    <s v="GAA0671"/>
    <s v="FR-300-GAA-0210-2022"/>
    <s v="N/A"/>
    <s v="Mantenimiento Sistema de Bombeo y Compresores de aire del Laboratorio de Medidores Acueducto."/>
    <n v="22222060"/>
    <s v="31 DE DICIEMBRE 2022"/>
    <s v="900-IP-0471-2022"/>
    <m/>
    <n v="202205242"/>
    <n v="22222060"/>
    <s v="N/A"/>
    <s v="N/A"/>
    <s v="N/A"/>
    <x v="2"/>
    <s v="MARIA CAMILA OLIVEROS"/>
    <d v="2022-07-29T00:00:00"/>
    <e v="#VALUE!"/>
    <e v="#VALUE!"/>
    <s v="SI"/>
    <s v="Entregado al area"/>
    <x v="1"/>
    <m/>
    <m/>
    <d v="2022-09-06T00:00:00"/>
    <x v="11"/>
    <m/>
    <n v="40"/>
    <n v="39"/>
    <s v="G"/>
    <s v="FUNCIONAMIENTO"/>
    <s v="300-AO-2225-2022"/>
    <d v="2022-08-31T00:00:00"/>
    <n v="22222060"/>
    <s v="TALLERES BRIG LTDA"/>
    <n v="202208246"/>
    <n v="0"/>
    <m/>
    <m/>
    <m/>
    <m/>
    <m/>
    <s v="CALI"/>
    <s v="LOCAL"/>
    <s v="LABORATORIO DE MEDIDORES ACUEDUCTO"/>
    <n v="0"/>
    <n v="1"/>
    <n v="1"/>
    <n v="28"/>
  </r>
  <r>
    <n v="429"/>
    <s v="0472"/>
    <s v="GUENAA"/>
    <d v="2022-07-28T00:00:00"/>
    <x v="7"/>
    <s v="GAA0672"/>
    <s v="FR-300-GAA-0211-2022"/>
    <s v="N/A"/>
    <s v="Mantenimiento de Software de Gestión P&amp;P para la Calibración de Medidores Acueducto"/>
    <n v="19999140"/>
    <m/>
    <s v="900-IP-0472-2022"/>
    <s v="IP-"/>
    <n v="202205243"/>
    <m/>
    <s v="N/A"/>
    <s v="N/A"/>
    <s v="N/A"/>
    <x v="2"/>
    <s v="CAMILO NUÑEZ"/>
    <d v="2022-07-29T00:00:00"/>
    <e v="#VALUE!"/>
    <e v="#VALUE!"/>
    <s v="NO"/>
    <s v="Devuelto"/>
    <x v="2"/>
    <m/>
    <s v="1 DE AGOSTO ENNSOLICITUD DE CONCEPTOS_x000a_SE DEVUELVE  PORQUE ES UN PROCESO SAM"/>
    <d v="2022-08-17T00:00:00"/>
    <x v="5"/>
    <s v="ago"/>
    <n v="20"/>
    <n v="19"/>
    <s v="G"/>
    <s v="FUNCIONAMIENTO"/>
    <m/>
    <m/>
    <m/>
    <m/>
    <m/>
    <m/>
    <m/>
    <m/>
    <m/>
    <m/>
    <m/>
    <m/>
    <m/>
    <m/>
    <m/>
    <n v="1"/>
    <m/>
    <m/>
  </r>
  <r>
    <n v="430"/>
    <s v="0473"/>
    <s v="GUENAA"/>
    <d v="2022-07-28T00:00:00"/>
    <x v="7"/>
    <s v="GAA0212"/>
    <s v="FR-300-GAA-0212-2022"/>
    <s v="N/A"/>
    <s v="Realizar la calibración de los instrumentos de temperatura, presión y humedad relativa instalados en el Laboratorio de Medidores Acueducto."/>
    <n v="16676370"/>
    <s v="90 DIAS"/>
    <s v="900-IP-0473-2022"/>
    <m/>
    <s v="202202258_x000a_202202259_x000a_202202260_x000a_202202261"/>
    <n v="16676370"/>
    <s v="N/A"/>
    <s v="N/A"/>
    <s v="N/A"/>
    <x v="2"/>
    <s v="NINFA SANTANA"/>
    <d v="2022-07-29T00:00:00"/>
    <e v="#VALUE!"/>
    <e v="#VALUE!"/>
    <s v="SI"/>
    <s v="Entregado al area"/>
    <x v="1"/>
    <m/>
    <m/>
    <d v="2022-09-20T00:00:00"/>
    <x v="11"/>
    <m/>
    <n v="54"/>
    <n v="53"/>
    <s v="G"/>
    <s v="FUNCIONAMIENTO"/>
    <s v="300-AO-2293-2022"/>
    <d v="2022-09-15T00:00:00"/>
    <n v="16378203"/>
    <s v="METROLOGIC COLOMBIA SAS"/>
    <n v="202208423"/>
    <n v="298167"/>
    <m/>
    <m/>
    <m/>
    <m/>
    <m/>
    <s v="CALI"/>
    <s v="LOCAL"/>
    <s v="LABORATORIO DE MEDIDORES ACUEDUCTO"/>
    <n v="1.7879610490772271E-2"/>
    <n v="1"/>
    <n v="1"/>
    <n v="24"/>
  </r>
  <r>
    <n v="431"/>
    <s v="0474"/>
    <s v="GUENE"/>
    <d v="2022-07-28T00:00:00"/>
    <x v="7"/>
    <s v="PENDIENTE"/>
    <s v="FR-500-GE-0200-2022"/>
    <s v="N/A"/>
    <s v="Suministro de Equipo Cabrestante Portacarrete Portatil Motorizado"/>
    <n v="269000000"/>
    <s v="28 de noviembre 2022"/>
    <s v="900-IP-0474-2022"/>
    <m/>
    <n v="202203909"/>
    <m/>
    <s v="N/A"/>
    <s v="N/A"/>
    <s v="N/A"/>
    <x v="2"/>
    <s v="JULIETA ORTIZ"/>
    <d v="2022-07-28T00:00:00"/>
    <n v="48"/>
    <n v="48"/>
    <s v="SI"/>
    <s v="Entregado al area"/>
    <x v="1"/>
    <s v="2 DE AGOSTO EN SOLICITUD DE CONCEPTOS  5 de agosto esta en espera de las polizas"/>
    <s v="Se presento un error en la expedicion de las polizas pór parte del tomador de seguros,.  La jefe se comunico con seguros  para que hicieran la correccion"/>
    <d v="2022-08-22T00:00:00"/>
    <x v="1"/>
    <m/>
    <n v="25"/>
    <n v="25"/>
    <s v="G"/>
    <s v="INVERSION"/>
    <s v="500-AO-2104-2022"/>
    <d v="2022-08-10T00:00:00"/>
    <n v="267738100"/>
    <s v="SUMINISTROS Y SERICIOS TECNICOS SOCIEDAD POR ACCIONES SIMPLIFIADA"/>
    <m/>
    <n v="1261900"/>
    <m/>
    <m/>
    <m/>
    <m/>
    <m/>
    <s v="CALI"/>
    <s v="LOCAL"/>
    <s v="UNIDAD DE MANTENIMIENTO"/>
    <n v="4.6910780669144978E-3"/>
    <n v="1"/>
    <n v="1"/>
    <n v="17"/>
  </r>
  <r>
    <n v="432"/>
    <s v="0475"/>
    <s v="GUENAA"/>
    <d v="2022-07-29T00:00:00"/>
    <x v="7"/>
    <s v="PENDIENTE"/>
    <s v="FR-300-GAA-0124-2022"/>
    <s v="N/A"/>
    <s v="Servicio de transporte, recolección y disposición de arenas, hilazas y biosolidos generados en el tratamiento de las aguas residuales en la PTAR-C"/>
    <n v="299999952"/>
    <s v="3 MESES"/>
    <s v="900-IP-0475-2022"/>
    <m/>
    <n v="202201857"/>
    <n v="300000000"/>
    <s v="N/A"/>
    <s v="N/A"/>
    <s v="N/A"/>
    <x v="2"/>
    <s v="ANA MARIA GIL"/>
    <d v="2022-08-01T00:00:00"/>
    <n v="47"/>
    <n v="44"/>
    <s v="SI"/>
    <s v="Entregado al area"/>
    <x v="1"/>
    <s v="5 DE AGOSTO EN  RECEPCION DE LA OFERTA"/>
    <m/>
    <d v="2022-08-25T00:00:00"/>
    <x v="1"/>
    <m/>
    <n v="27"/>
    <n v="24"/>
    <s v="G"/>
    <s v="FUNCIONAMIENTO"/>
    <s v="300-AO-2097-2022"/>
    <d v="2022-08-10T00:00:00"/>
    <n v="299999952"/>
    <s v="MULTISERVICIOS CAÑAMIEL  SAS"/>
    <n v="202207801"/>
    <n v="0"/>
    <m/>
    <m/>
    <m/>
    <m/>
    <m/>
    <m/>
    <m/>
    <m/>
    <n v="0"/>
    <n v="1"/>
    <n v="1"/>
    <n v="19"/>
  </r>
  <r>
    <n v="433"/>
    <s v="0476"/>
    <s v="GAGHA"/>
    <d v="2022-07-29T00:00:00"/>
    <x v="7"/>
    <s v="GHA0065_x000a_GHA0067"/>
    <s v="FR-800-GHA-0177-2022"/>
    <s v="N/A"/>
    <s v="Realizar la compra de elementos de aseo y cafetería para EMCALI EICE ESP"/>
    <n v="84055124"/>
    <s v="28 DE NOVIEMBRE 2022"/>
    <s v="900-IP-0476-2022"/>
    <m/>
    <s v="202204454_x000a_202203557_x000a_202205128"/>
    <m/>
    <s v="N/A"/>
    <s v="N/A"/>
    <s v="N/A"/>
    <x v="2"/>
    <s v="PAOLA BELTRAN"/>
    <d v="2022-08-05T00:00:00"/>
    <e v="#VALUE!"/>
    <e v="#VALUE!"/>
    <s v="SI"/>
    <s v="Entregado al area"/>
    <x v="1"/>
    <s v="18 DE AGOSTO EN ELABORACION DE  INVITACION"/>
    <m/>
    <d v="2022-09-14T00:00:00"/>
    <x v="11"/>
    <m/>
    <n v="47"/>
    <n v="40"/>
    <s v="G"/>
    <s v="FUNCIONAMIENTO"/>
    <s v="800-AO-2275-2022"/>
    <d v="2022-09-12T00:00:00"/>
    <n v="83956858"/>
    <s v="AS DISTRIBUCION INSTITUCIONAL SAS"/>
    <n v="202208405"/>
    <n v="98266"/>
    <m/>
    <m/>
    <m/>
    <m/>
    <m/>
    <s v="CALI"/>
    <s v="LOCAL"/>
    <m/>
    <n v="1.1690661475914307E-3"/>
    <n v="0"/>
    <n v="1"/>
    <n v="21"/>
  </r>
  <r>
    <n v="434"/>
    <s v="0477"/>
    <s v="GTI"/>
    <d v="2022-07-29T00:00:00"/>
    <x v="7"/>
    <s v="GTI0191"/>
    <s v="FR-200-GTI-0110-2022"/>
    <s v="N/A"/>
    <s v="Actualización por un(1) año de la Licencia de Infowater a través de la cual opera el Modelo de Simulación Hidráulica de Acueducto en el Centro de Control Maestro de la UENAA"/>
    <n v="35000000"/>
    <m/>
    <m/>
    <s v=""/>
    <n v="202203030"/>
    <m/>
    <s v="N/A"/>
    <s v="N/A"/>
    <s v="N/A"/>
    <x v="3"/>
    <s v="CAMILO NUÑEZ"/>
    <d v="2022-08-01T00:00:00"/>
    <e v="#VALUE!"/>
    <e v="#VALUE!"/>
    <s v="NO"/>
    <s v="Devuelto"/>
    <x v="2"/>
    <m/>
    <s v="DEVUELTO PORQUE ES UN PROCESO SAM"/>
    <d v="2022-08-17T00:00:00"/>
    <x v="5"/>
    <s v="ago"/>
    <n v="19"/>
    <n v="16"/>
    <s v="C"/>
    <s v="FUNCIONAMIENTO_x000a_INVERSION"/>
    <m/>
    <m/>
    <m/>
    <m/>
    <m/>
    <m/>
    <m/>
    <m/>
    <m/>
    <m/>
    <m/>
    <m/>
    <m/>
    <m/>
    <m/>
    <n v="0"/>
    <m/>
    <m/>
  </r>
  <r>
    <n v="435"/>
    <s v="0478"/>
    <s v="GTI"/>
    <d v="2022-07-29T00:00:00"/>
    <x v="7"/>
    <s v="GTI0189"/>
    <s v="FR-200-GTI-0109-2022"/>
    <s v="N/A"/>
    <s v="Actualización del Licenciamiento del Software ArcGIS sobre el cual, opera el sistema de información Geográfica de la UENAA"/>
    <n v="260464881"/>
    <m/>
    <m/>
    <s v=""/>
    <n v="202203588"/>
    <m/>
    <s v="N/A"/>
    <s v="N/A"/>
    <s v="N/A"/>
    <x v="3"/>
    <s v="CAMILO NUÑEZ"/>
    <d v="2022-08-01T00:00:00"/>
    <e v="#VALUE!"/>
    <e v="#VALUE!"/>
    <s v="NO"/>
    <s v="Devuelto"/>
    <x v="2"/>
    <m/>
    <s v="DEVUELTO PORQUE ES UN PROCESO SAM"/>
    <d v="2022-08-17T00:00:00"/>
    <x v="5"/>
    <s v="ago"/>
    <n v="19"/>
    <n v="16"/>
    <s v="C"/>
    <s v="FUNCIONAMIENTO_x000a_INVERSION"/>
    <m/>
    <m/>
    <m/>
    <m/>
    <m/>
    <m/>
    <m/>
    <m/>
    <m/>
    <m/>
    <m/>
    <m/>
    <m/>
    <m/>
    <m/>
    <n v="0"/>
    <m/>
    <m/>
  </r>
  <r>
    <n v="436"/>
    <s v="0479"/>
    <s v="GUENT"/>
    <d v="2022-07-01T00:00:00"/>
    <x v="7"/>
    <s v="GT0240"/>
    <s v="FR-400-GT-0195-2022"/>
    <s v="N/A"/>
    <s v="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
    <n v="499939720"/>
    <s v="4,5 MESES"/>
    <s v="900-IP-0479-2022"/>
    <m/>
    <n v="202205147"/>
    <m/>
    <s v="N/A"/>
    <s v="N/A"/>
    <s v="N/A"/>
    <x v="2"/>
    <s v="LAURA ANGEL"/>
    <d v="2022-08-03T00:00:00"/>
    <n v="75"/>
    <n v="42"/>
    <s v="SI"/>
    <s v="Entregado al area"/>
    <x v="1"/>
    <m/>
    <m/>
    <d v="2022-08-19T00:00:00"/>
    <x v="1"/>
    <m/>
    <n v="49"/>
    <n v="16"/>
    <s v="G"/>
    <s v="FUNCIONAMIENTO"/>
    <s v="400-AO-2156-2022"/>
    <d v="2022-08-16T00:00:00"/>
    <n v="499140720"/>
    <s v="COMERCIALIZADORA DE BIENES Y SERVICIOS SOLUCIONAMOS SAS"/>
    <n v="202207831"/>
    <n v="799000"/>
    <m/>
    <m/>
    <m/>
    <m/>
    <m/>
    <s v="CALI"/>
    <s v="LOCAL"/>
    <m/>
    <n v="1.598192678109273E-3"/>
    <n v="1"/>
    <n v="1"/>
    <n v="35"/>
  </r>
  <r>
    <n v="437"/>
    <s v="0480"/>
    <m/>
    <d v="2022-08-01T00:00:00"/>
    <x v="8"/>
    <m/>
    <m/>
    <s v="N/A"/>
    <s v="ANULADO"/>
    <m/>
    <m/>
    <m/>
    <s v=""/>
    <m/>
    <m/>
    <s v="N/A"/>
    <s v="N/A"/>
    <s v="N/A"/>
    <x v="3"/>
    <s v="MONICA DHARO"/>
    <d v="2022-08-01T00:00:00"/>
    <e v="#VALUE!"/>
    <e v="#VALUE!"/>
    <s v="SI"/>
    <s v="Inicio Proceso"/>
    <x v="0"/>
    <m/>
    <m/>
    <d v="2022-08-01T00:00:00"/>
    <x v="5"/>
    <s v="ago"/>
    <n v="0"/>
    <n v="0"/>
    <s v="N/A"/>
    <s v="N/A"/>
    <m/>
    <m/>
    <m/>
    <m/>
    <m/>
    <m/>
    <m/>
    <m/>
    <m/>
    <m/>
    <m/>
    <m/>
    <m/>
    <m/>
    <m/>
    <n v="0"/>
    <m/>
    <m/>
  </r>
  <r>
    <n v="438"/>
    <s v="0481"/>
    <m/>
    <d v="2022-08-01T00:00:00"/>
    <x v="8"/>
    <m/>
    <m/>
    <s v="N/A"/>
    <s v="ANULADO"/>
    <m/>
    <m/>
    <m/>
    <s v=""/>
    <m/>
    <m/>
    <s v="N/A"/>
    <s v="N/A"/>
    <s v="N/A"/>
    <x v="3"/>
    <s v="MONICA DHARO"/>
    <d v="2022-08-01T00:00:00"/>
    <e v="#VALUE!"/>
    <e v="#VALUE!"/>
    <s v="SI"/>
    <s v="Inicio Proceso"/>
    <x v="0"/>
    <m/>
    <m/>
    <d v="2022-08-01T00:00:00"/>
    <x v="5"/>
    <s v="ago"/>
    <n v="0"/>
    <n v="0"/>
    <s v="N/A"/>
    <s v="N/A"/>
    <m/>
    <m/>
    <m/>
    <m/>
    <m/>
    <m/>
    <m/>
    <m/>
    <m/>
    <m/>
    <m/>
    <m/>
    <m/>
    <m/>
    <m/>
    <n v="0"/>
    <m/>
    <m/>
  </r>
  <r>
    <n v="439"/>
    <s v="0482"/>
    <m/>
    <d v="2022-08-01T00:00:00"/>
    <x v="8"/>
    <m/>
    <m/>
    <s v="N/A"/>
    <s v="ANULADO"/>
    <m/>
    <m/>
    <m/>
    <s v=""/>
    <m/>
    <m/>
    <s v="N/A"/>
    <s v="N/A"/>
    <s v="N/A"/>
    <x v="3"/>
    <s v="MONICA DHARO"/>
    <d v="2022-08-01T00:00:00"/>
    <e v="#VALUE!"/>
    <e v="#VALUE!"/>
    <s v="SI"/>
    <s v="Inicio Proceso"/>
    <x v="0"/>
    <m/>
    <m/>
    <d v="2022-08-01T00:00:00"/>
    <x v="5"/>
    <s v="ago"/>
    <n v="0"/>
    <n v="0"/>
    <s v="N/A"/>
    <s v="N/A"/>
    <m/>
    <m/>
    <m/>
    <m/>
    <m/>
    <m/>
    <m/>
    <m/>
    <m/>
    <m/>
    <m/>
    <m/>
    <m/>
    <m/>
    <m/>
    <n v="0"/>
    <m/>
    <m/>
  </r>
  <r>
    <n v="440"/>
    <s v="0483"/>
    <s v="GUENAA"/>
    <d v="2022-08-02T00:00:00"/>
    <x v="8"/>
    <s v="GAA0772"/>
    <s v="FR-300-GAA-0213-2022"/>
    <s v="N/A"/>
    <s v="Mantenimiento Preventivo para los variadores de velocidad del LMA."/>
    <n v="2748900"/>
    <m/>
    <s v="900-IP-0483-2022"/>
    <m/>
    <n v="202205145"/>
    <m/>
    <s v="N/A"/>
    <s v="N/A"/>
    <s v="N/A"/>
    <x v="2"/>
    <s v="JESSICA ROJAS"/>
    <d v="2022-08-02T00:00:00"/>
    <n v="98"/>
    <n v="98"/>
    <s v="SI"/>
    <s v="Entregado al area"/>
    <x v="1"/>
    <s v="28 DE SEPTIEMBRE EN SOLICITUD DE POLIZAS"/>
    <m/>
    <d v="2022-10-12T00:00:00"/>
    <x v="12"/>
    <n v="71"/>
    <m/>
    <n v="71"/>
    <s v="G"/>
    <s v="FUNCIONAMIENTO"/>
    <s v="300-AO-2257-2022"/>
    <d v="2022-09-07T00:00:00"/>
    <n v="2748900"/>
    <s v="TECNICAS EN  AUTOMATIZACION Y CONTROL SAS "/>
    <n v="202208319"/>
    <n v="0"/>
    <s v="CALI"/>
    <s v="LOCAL"/>
    <m/>
    <m/>
    <m/>
    <m/>
    <m/>
    <m/>
    <n v="0"/>
    <n v="1"/>
    <n v="1"/>
    <n v="46"/>
  </r>
  <r>
    <n v="441"/>
    <s v="0484"/>
    <s v="GUENAA"/>
    <d v="2022-08-02T00:00:00"/>
    <x v="8"/>
    <s v="GAA0677"/>
    <s v="FR-300-GAA-0215-2022"/>
    <s v="N/A"/>
    <s v="Mantenimiento Tablet's  marca ZEBRA del Laboratorio de Medidores Acueducto."/>
    <n v="6631930"/>
    <s v="120 DIAS"/>
    <s v="900-IP-484-2022"/>
    <m/>
    <n v="202205244"/>
    <n v="6631930"/>
    <s v="N/A"/>
    <s v="N/A"/>
    <s v="N/A"/>
    <x v="2"/>
    <s v="NINFA SANTANA"/>
    <d v="2022-08-03T00:00:00"/>
    <n v="43"/>
    <n v="42"/>
    <s v="SI"/>
    <s v="Entregado al area"/>
    <x v="1"/>
    <m/>
    <m/>
    <d v="2022-08-30T00:00:00"/>
    <x v="1"/>
    <m/>
    <n v="28"/>
    <n v="27"/>
    <s v="G"/>
    <s v="FUNCIONAMIENTO"/>
    <s v="300-AO-2210-2022"/>
    <d v="2022-08-26T00:00:00"/>
    <n v="6631930"/>
    <s v="LINEADATASCAN SA"/>
    <m/>
    <n v="0"/>
    <m/>
    <m/>
    <m/>
    <m/>
    <m/>
    <s v="CALI"/>
    <s v="LOCAL"/>
    <m/>
    <n v="0"/>
    <n v="1"/>
    <n v="1"/>
    <n v="20"/>
  </r>
  <r>
    <n v="442"/>
    <s v="0485"/>
    <s v="GUENT"/>
    <d v="2022-08-02T00:00:00"/>
    <x v="8"/>
    <s v="GT0141"/>
    <s v="FR-400-GT-0151-2022"/>
    <s v="N/A"/>
    <s v="Suministro de elementos para el mantenimiento de los radio enlaces que permita garantizar la disponibilidad y calidad del servicio exigida por los usuarios y cumplir con normatividad que rigen los servicios públicos de Telecomunicaciones en Colombia"/>
    <n v="498845738"/>
    <s v="28 DE NOVIEMBRE 2022"/>
    <s v="900-IP-0485-2022"/>
    <m/>
    <n v="202202411"/>
    <n v="503813789"/>
    <s v="N/A"/>
    <s v="N/A"/>
    <s v="N/A"/>
    <x v="2"/>
    <s v="HAROLD MONDRAGON"/>
    <d v="2022-08-03T00:00:00"/>
    <e v="#VALUE!"/>
    <e v="#VALUE!"/>
    <s v="SI"/>
    <s v="Entregado al area"/>
    <x v="1"/>
    <m/>
    <m/>
    <d v="2022-09-08T00:00:00"/>
    <x v="11"/>
    <m/>
    <n v="37"/>
    <n v="36"/>
    <s v="G"/>
    <s v="FUNCIONAMIENTO"/>
    <s v="400-AO-2246-2022"/>
    <d v="2022-09-05T00:00:00"/>
    <n v="498814757"/>
    <s v="MAICROTEL SAS"/>
    <n v="202208317"/>
    <n v="30981"/>
    <m/>
    <m/>
    <m/>
    <m/>
    <m/>
    <s v="BOGOTA"/>
    <s v="NACIONAL"/>
    <m/>
    <n v="6.2105371741193467E-5"/>
    <n v="1"/>
    <n v="1"/>
    <n v="27"/>
  </r>
  <r>
    <n v="443"/>
    <s v="0486"/>
    <s v="GUENAA"/>
    <d v="2022-08-02T00:00:00"/>
    <x v="8"/>
    <s v="PENDIENTE"/>
    <s v="FR-300-GAA-0076-2022"/>
    <s v="N/A"/>
    <s v="Suministro de equipos y Elementos para la medición de variables para el proceso de tratamiento de la PTAR-C"/>
    <n v="207605670"/>
    <s v="28 DE  NOVIEMBRE 2022"/>
    <s v="900-IP-0486-2022"/>
    <m/>
    <n v="202202669"/>
    <n v="211028000"/>
    <s v="N/A"/>
    <s v="N/A"/>
    <s v="N/A"/>
    <x v="2"/>
    <s v="JULIO GARCIA"/>
    <d v="2022-08-02T00:00:00"/>
    <e v="#VALUE!"/>
    <e v="#VALUE!"/>
    <s v="SI"/>
    <s v="Entregado al area"/>
    <x v="1"/>
    <m/>
    <m/>
    <d v="2022-09-16T00:00:00"/>
    <x v="11"/>
    <m/>
    <n v="45"/>
    <n v="45"/>
    <s v="G"/>
    <s v="INVERSION"/>
    <s v="300-AO-2280-2022"/>
    <d v="2022-09-14T00:00:00"/>
    <n v="206567640"/>
    <s v="EPRING SAS"/>
    <n v="202208411"/>
    <n v="1038030"/>
    <m/>
    <m/>
    <m/>
    <m/>
    <m/>
    <s v="CALI"/>
    <s v="LOCAL"/>
    <m/>
    <n v="5.000007947759808E-3"/>
    <n v="1"/>
    <n v="1"/>
    <n v="33"/>
  </r>
  <r>
    <n v="444"/>
    <s v="0487"/>
    <s v="GUENAA"/>
    <d v="2022-08-03T00:00:00"/>
    <x v="8"/>
    <s v="PENDIENTE"/>
    <s v="FR-300-GAA-0087-2022"/>
    <s v="N/A"/>
    <s v="Suministro de equipos de Automatismo y Telemetría"/>
    <n v="244211285"/>
    <s v="60 DIAS"/>
    <s v="900-IP-0487-2022"/>
    <m/>
    <n v="202201156"/>
    <m/>
    <s v="N/A"/>
    <s v="N/A"/>
    <s v="N/A"/>
    <x v="2"/>
    <s v="LINA ECHAVARRIA"/>
    <d v="2022-08-03T00:00:00"/>
    <n v="42"/>
    <n v="42"/>
    <s v="SI"/>
    <s v="Entregado al area"/>
    <x v="1"/>
    <m/>
    <m/>
    <d v="2022-08-29T00:00:00"/>
    <x v="1"/>
    <m/>
    <n v="26"/>
    <n v="26"/>
    <s v="G"/>
    <s v="INVERSION"/>
    <s v="300-AO-2201-2022"/>
    <d v="2022-08-24T00:00:00"/>
    <n v="243478651"/>
    <s v="EPRING SAS"/>
    <n v="202207946"/>
    <n v="732634"/>
    <m/>
    <m/>
    <m/>
    <m/>
    <m/>
    <m/>
    <m/>
    <m/>
    <n v="3.0000005937481553E-3"/>
    <n v="1"/>
    <n v="1"/>
    <n v="18"/>
  </r>
  <r>
    <n v="445"/>
    <s v="0488"/>
    <s v="GF"/>
    <d v="2022-08-03T00:00:00"/>
    <x v="8"/>
    <s v="GF0064"/>
    <s v="FR-700-GF-0063-2022"/>
    <s v="N/A"/>
    <s v="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
    <n v="400000000"/>
    <s v="28 DE NOVIEMBRE 2022"/>
    <s v="900-IP-0488-2022"/>
    <m/>
    <n v="202205566"/>
    <m/>
    <s v="N/A"/>
    <s v="N/A"/>
    <s v="N/A"/>
    <x v="2"/>
    <s v="LAURA PIMIENTA"/>
    <d v="2022-08-05T00:00:00"/>
    <e v="#VALUE!"/>
    <e v="#VALUE!"/>
    <s v="SI"/>
    <s v="Entregado al area"/>
    <x v="1"/>
    <m/>
    <m/>
    <d v="2022-09-19T00:00:00"/>
    <x v="11"/>
    <m/>
    <n v="47"/>
    <n v="45"/>
    <s v="G"/>
    <s v="FUNCIONAMIENTO"/>
    <s v="700-AO-2276-2022"/>
    <d v="2022-09-09T00:00:00"/>
    <n v="400000000"/>
    <s v="SINERJOY BPO SAS"/>
    <n v="202208378"/>
    <n v="0"/>
    <m/>
    <m/>
    <m/>
    <m/>
    <m/>
    <s v="CALI"/>
    <s v="LOCAL"/>
    <m/>
    <n v="0"/>
    <n v="0"/>
    <n v="1"/>
    <n v="33"/>
  </r>
  <r>
    <n v="446"/>
    <s v="0489"/>
    <s v="GUENE"/>
    <d v="2022-08-04T00:00:00"/>
    <x v="8"/>
    <s v="GE0360"/>
    <s v="FR-500-GE-0229-2022"/>
    <s v="N/A"/>
    <s v="Realizar Publicación del Plan de Inversión Vigencia 2021"/>
    <n v="7380000"/>
    <s v="60 DIAS"/>
    <s v="900-IP-0489-2022"/>
    <m/>
    <n v="202205342"/>
    <n v="7380000"/>
    <s v="N/A"/>
    <s v="N/A"/>
    <s v="N/A"/>
    <x v="2"/>
    <s v="LAURA ANGEL"/>
    <d v="2022-08-05T00:00:00"/>
    <n v="41"/>
    <n v="40"/>
    <s v="SI"/>
    <s v="Entregado al area"/>
    <x v="1"/>
    <m/>
    <m/>
    <d v="2022-08-26T00:00:00"/>
    <x v="1"/>
    <m/>
    <n v="22"/>
    <n v="21"/>
    <s v="G"/>
    <s v="FUNCIONAMIENTO"/>
    <s v="500-AO-2184-2022"/>
    <d v="2022-08-23T00:00:00"/>
    <n v="7380000"/>
    <s v="NUEVO DIAIRO DE OCCIDENTE  SAS"/>
    <n v="202207891"/>
    <n v="0"/>
    <m/>
    <m/>
    <m/>
    <m/>
    <m/>
    <s v="CALI"/>
    <s v="LOCAL"/>
    <m/>
    <n v="0"/>
    <n v="1"/>
    <n v="1"/>
    <n v="16"/>
  </r>
  <r>
    <n v="447"/>
    <s v="0490"/>
    <s v="GUENE"/>
    <d v="2022-08-04T00:00:00"/>
    <x v="8"/>
    <s v="GE0352"/>
    <s v="FR-500-GE-0231-2022"/>
    <s v="N/A"/>
    <s v="Suministro Transformadores de Corriente"/>
    <n v="449226785"/>
    <m/>
    <s v="900-IP-0490-2022"/>
    <s v="IP-"/>
    <n v="202205366"/>
    <n v="449226785"/>
    <s v="N/A"/>
    <s v="N/A"/>
    <s v="N/A"/>
    <x v="2"/>
    <s v="LINA ECHAVARRIA"/>
    <d v="2022-08-05T00:00:00"/>
    <e v="#VALUE!"/>
    <e v="#VALUE!"/>
    <s v="NO"/>
    <s v="Cerrado"/>
    <x v="0"/>
    <m/>
    <m/>
    <d v="2022-09-23T00:00:00"/>
    <x v="5"/>
    <s v="sep"/>
    <n v="50"/>
    <n v="49"/>
    <m/>
    <s v="INVERSION"/>
    <m/>
    <m/>
    <m/>
    <m/>
    <m/>
    <m/>
    <m/>
    <m/>
    <m/>
    <m/>
    <m/>
    <m/>
    <m/>
    <m/>
    <m/>
    <n v="1"/>
    <m/>
    <m/>
  </r>
  <r>
    <n v="448"/>
    <s v="0491"/>
    <s v="GUENE"/>
    <d v="2022-08-04T00:00:00"/>
    <x v="8"/>
    <s v="GE0276"/>
    <s v="FR-500-GE-0232-2022"/>
    <s v="N/A"/>
    <s v="Suministro de Conectores de Perforación"/>
    <n v="161640675"/>
    <m/>
    <s v="900-IPU-0491-2022"/>
    <s v="IPU"/>
    <n v="202205359"/>
    <m/>
    <s v="N/A"/>
    <s v="N/A"/>
    <s v="N/A"/>
    <x v="0"/>
    <s v="JULIETA ORTIZ"/>
    <d v="2022-08-05T00:00:00"/>
    <e v="#VALUE!"/>
    <e v="#VALUE!"/>
    <s v="NO"/>
    <s v="Devuelto"/>
    <x v="2"/>
    <m/>
    <m/>
    <d v="2022-08-29T00:00:00"/>
    <x v="5"/>
    <s v="ago"/>
    <n v="25"/>
    <n v="24"/>
    <m/>
    <s v="INVERSION"/>
    <m/>
    <m/>
    <m/>
    <m/>
    <m/>
    <m/>
    <m/>
    <m/>
    <m/>
    <m/>
    <m/>
    <m/>
    <m/>
    <m/>
    <m/>
    <n v="1"/>
    <m/>
    <m/>
  </r>
  <r>
    <n v="449"/>
    <s v="0492"/>
    <s v="GUENE"/>
    <d v="2022-08-04T00:00:00"/>
    <x v="8"/>
    <s v="GE0354"/>
    <s v="FR-500-GE-0233-2022"/>
    <s v="N/A"/>
    <s v="Suministro de cajas de Policarbonato Polifásicas"/>
    <n v="326844210"/>
    <s v="60 DIAS"/>
    <s v="900-IP-0492-2022"/>
    <m/>
    <n v="202205358"/>
    <n v="326844210"/>
    <s v="N/A"/>
    <s v="N/A"/>
    <s v="N/A"/>
    <x v="2"/>
    <s v="JULIETA ORTIZ"/>
    <d v="2022-08-05T00:00:00"/>
    <e v="#VALUE!"/>
    <e v="#VALUE!"/>
    <s v="SI"/>
    <s v="Entregado al area"/>
    <x v="1"/>
    <m/>
    <m/>
    <d v="2022-09-21T00:00:00"/>
    <x v="11"/>
    <m/>
    <n v="48"/>
    <n v="47"/>
    <s v="G"/>
    <s v="INVERSION"/>
    <s v="500-AO-2369-2022"/>
    <d v="2022-09-15T00:00:00"/>
    <n v="326844210"/>
    <s v="compañía  DE PARTES Y ACCESORIOS SAS"/>
    <m/>
    <n v="0"/>
    <m/>
    <m/>
    <m/>
    <m/>
    <m/>
    <s v="BOGOTA"/>
    <s v="NACIONAL"/>
    <m/>
    <n v="0"/>
    <n v="1"/>
    <n v="1"/>
    <n v="34"/>
  </r>
  <r>
    <n v="450"/>
    <s v="0493"/>
    <s v="GUENE"/>
    <d v="2022-08-04T00:00:00"/>
    <x v="8"/>
    <s v="GE0353"/>
    <s v="FR-500-GE-0234-2022"/>
    <s v="N/A"/>
    <s v="Suministro de MODEM 4G"/>
    <n v="1137561579"/>
    <m/>
    <s v="900-IPU-0493-2022"/>
    <s v="IPU"/>
    <n v="202205357"/>
    <n v="1137561579"/>
    <s v="N/A"/>
    <s v="N/A"/>
    <s v="N/A"/>
    <x v="0"/>
    <s v="LINA ECHAVARRIA"/>
    <d v="2022-08-05T00:00:00"/>
    <e v="#VALUE!"/>
    <e v="#VALUE!"/>
    <m/>
    <s v="Cerrado"/>
    <x v="0"/>
    <d v="2022-12-09T00:00:00"/>
    <s v="28 DE SEPTIEMBRE 2022 EN EVALUACION SOBRE 1"/>
    <d v="2022-12-14T00:00:00"/>
    <x v="5"/>
    <s v="dic"/>
    <n v="132"/>
    <n v="131"/>
    <m/>
    <s v="INVERSION"/>
    <m/>
    <m/>
    <m/>
    <m/>
    <m/>
    <m/>
    <m/>
    <m/>
    <m/>
    <m/>
    <m/>
    <m/>
    <m/>
    <m/>
    <m/>
    <n v="1"/>
    <m/>
    <m/>
  </r>
  <r>
    <n v="451"/>
    <s v="0494"/>
    <s v="GUENAA"/>
    <d v="2022-08-04T00:00:00"/>
    <x v="8"/>
    <s v="PENDIENTE"/>
    <s v="FR-300-GAA-0136-2022"/>
    <s v="N/A"/>
    <s v="Suministro e Instalación equipos de Instrumentación y Automatización"/>
    <n v="97403342"/>
    <s v="90 DIAS"/>
    <s v="900-IP-0494-2022"/>
    <m/>
    <n v="202203123"/>
    <m/>
    <s v="N/A"/>
    <s v="N/A"/>
    <s v="N/A"/>
    <x v="2"/>
    <s v="ANA MARIA GIL"/>
    <d v="2022-08-04T00:00:00"/>
    <e v="#VALUE!"/>
    <e v="#VALUE!"/>
    <s v="SI"/>
    <s v="Entregado al area"/>
    <x v="1"/>
    <m/>
    <m/>
    <d v="2022-09-21T00:00:00"/>
    <x v="11"/>
    <m/>
    <n v="48"/>
    <n v="48"/>
    <s v="G"/>
    <s v="INVERSION"/>
    <s v="300-AO-2252-2022"/>
    <d v="2022-09-05T00:00:00"/>
    <n v="97196142"/>
    <s v="DESARROLLO DE SISTEMAS DE CONTROL SOCIEDAD POR ACCIONES  SIMPLIFICADA"/>
    <n v="202208385"/>
    <n v="207200"/>
    <m/>
    <m/>
    <m/>
    <m/>
    <m/>
    <m/>
    <m/>
    <m/>
    <n v="2.1272370715986317E-3"/>
    <n v="1"/>
    <n v="1"/>
    <n v="23"/>
  </r>
  <r>
    <n v="452"/>
    <s v="0495"/>
    <s v="GAGHA"/>
    <d v="2022-08-08T00:00:00"/>
    <x v="8"/>
    <s v="PENDIENTE"/>
    <s v="FR-800-GHA-0138-2022"/>
    <s v="N/A"/>
    <s v="Realizar la compra de un (1) camión de dos toneladas tipo furgón 4x2, con las adecuaciones requeridas por EMCALI EICE ESP, incluyendo el servicio de diez (10) mantenimientos preventivos"/>
    <n v="197470000"/>
    <s v="28 DE NOVIEMBRE 2022"/>
    <s v="900-IP-0495-2022"/>
    <m/>
    <n v="202202364"/>
    <n v="197470000"/>
    <s v="N/A"/>
    <s v="N/A"/>
    <s v="N/A"/>
    <x v="2"/>
    <s v="LEIDY FRANCO"/>
    <d v="2022-08-08T00:00:00"/>
    <e v="#VALUE!"/>
    <e v="#VALUE!"/>
    <s v="SI"/>
    <s v="Entregado al area"/>
    <x v="1"/>
    <m/>
    <m/>
    <d v="2022-09-12T00:00:00"/>
    <x v="11"/>
    <m/>
    <n v="35"/>
    <n v="35"/>
    <s v="G"/>
    <s v="FUNCIONAMIENTO"/>
    <s v="800-AO-2226-2022"/>
    <d v="2022-08-31T00:00:00"/>
    <n v="172639000"/>
    <s v="AUTOPACIFICO  SA"/>
    <n v="202208351"/>
    <n v="24831000"/>
    <m/>
    <m/>
    <m/>
    <m/>
    <m/>
    <s v="CALI"/>
    <s v="LOCAL"/>
    <m/>
    <n v="0.12574568288854004"/>
    <n v="0"/>
    <n v="1"/>
    <n v="25"/>
  </r>
  <r>
    <n v="453"/>
    <s v="0496"/>
    <s v="GUENAA"/>
    <d v="2022-08-08T00:00:00"/>
    <x v="8"/>
    <s v="GAA0741_x000a_GAA0765"/>
    <s v="FR-300-GAA-0216-2022"/>
    <s v="300-CMA-1974-2020"/>
    <s v="Suministro de elementos de ferretería para la Unidad de Mantenimiento"/>
    <n v="168056255"/>
    <s v="18 DE NOVIEMBRE 2022"/>
    <s v="N/A"/>
    <m/>
    <s v="202204891_x000a_202204423"/>
    <m/>
    <s v="N/A"/>
    <s v="N/A"/>
    <s v="N/A"/>
    <x v="1"/>
    <s v="LUCY ARBELAEZ"/>
    <d v="2022-08-08T00:00:00"/>
    <e v="#VALUE!"/>
    <e v="#VALUE!"/>
    <s v="SI"/>
    <s v="Entregado al area"/>
    <x v="1"/>
    <m/>
    <m/>
    <d v="2022-09-05T00:00:00"/>
    <x v="11"/>
    <m/>
    <n v="28"/>
    <n v="28"/>
    <s v="N/A"/>
    <s v="FUNCIONAMIENTO"/>
    <s v="300-CMA-1974-2020/300-AO-2204-2022_x000a_300-CMA-1974-2020/300-AO-2205-2022"/>
    <d v="2022-08-25T00:00:00"/>
    <n v="167109193"/>
    <s v="EQUIPOS Y HERRAMIENTAS INDUSTRIALES SAS"/>
    <n v="202207954"/>
    <n v="947062"/>
    <m/>
    <m/>
    <m/>
    <m/>
    <m/>
    <m/>
    <m/>
    <m/>
    <n v="5.6353867935471967E-3"/>
    <n v="1"/>
    <n v="0"/>
    <n v="28"/>
  </r>
  <r>
    <n v="454"/>
    <s v="0497"/>
    <s v="GUENAA"/>
    <d v="2022-08-08T00:00:00"/>
    <x v="8"/>
    <s v="GAA0740"/>
    <s v="FR-300-GAA-0217-2022"/>
    <s v="N/A"/>
    <s v="Suministro de Rodamientos para las Unidades de Bombeo de Agua Cruda de la PTAP Puerto Mallarino"/>
    <n v="46084023"/>
    <s v="60 DIAS"/>
    <s v="900-IP-0497-2022"/>
    <m/>
    <n v="202204422"/>
    <n v="46084023"/>
    <s v="N/A"/>
    <s v="N/A"/>
    <s v="N/A"/>
    <x v="2"/>
    <s v="CARLOS RODRIGUEZ"/>
    <d v="2022-08-12T00:00:00"/>
    <e v="#VALUE!"/>
    <e v="#VALUE!"/>
    <s v="SI"/>
    <s v="Entregado al area"/>
    <x v="1"/>
    <m/>
    <m/>
    <d v="2022-09-23T00:00:00"/>
    <x v="11"/>
    <m/>
    <n v="46"/>
    <n v="42"/>
    <s v="G"/>
    <s v="INVERSION"/>
    <s v="300-AO-2320-2022"/>
    <d v="2022-09-15T00:00:00"/>
    <n v="45500000"/>
    <s v="FERRRETERIA SU PROVEEDOR SAS"/>
    <n v="202208444"/>
    <n v="584023"/>
    <m/>
    <m/>
    <m/>
    <m/>
    <m/>
    <s v="CALI"/>
    <s v="LOCAL"/>
    <m/>
    <n v="1.2673003830416455E-2"/>
    <n v="1"/>
    <n v="1"/>
    <n v="34"/>
  </r>
  <r>
    <n v="455"/>
    <s v="0498"/>
    <s v="GUENAA"/>
    <d v="2022-08-08T00:00:00"/>
    <x v="8"/>
    <s v="GAA0777"/>
    <s v="FR-300-GAA-0218-2022"/>
    <s v="N/A"/>
    <s v="Estudio Estadistico Ensayos de Aptitud para el Laboratorio de Medidores Acueducto."/>
    <n v="3474800"/>
    <s v="30 DIAS"/>
    <s v="900-IP-0218-2022"/>
    <m/>
    <n v="202205486"/>
    <n v="3474800"/>
    <s v="N/A"/>
    <s v="N/A"/>
    <s v="N/A"/>
    <x v="2"/>
    <s v="CARLOS RODRIGUEZ"/>
    <d v="2022-08-12T00:00:00"/>
    <e v="#VALUE!"/>
    <e v="#VALUE!"/>
    <s v="SI"/>
    <s v="Entregado al area"/>
    <x v="1"/>
    <m/>
    <m/>
    <d v="2022-09-26T00:00:00"/>
    <x v="11"/>
    <m/>
    <n v="49"/>
    <n v="45"/>
    <s v="G"/>
    <s v="FUNCIONAMIENTO"/>
    <s v="300-AO-2381-2022"/>
    <d v="2022-09-15T00:00:00"/>
    <n v="3474800"/>
    <s v="ENSAYOS DE APTITUD Y METROLOGIA DE COLOMBIA SAS"/>
    <n v="202208546"/>
    <n v="0"/>
    <m/>
    <m/>
    <m/>
    <m/>
    <m/>
    <s v="BOGOTA"/>
    <s v="NACIONAL"/>
    <m/>
    <n v="0"/>
    <n v="1"/>
    <n v="1"/>
    <n v="35"/>
  </r>
  <r>
    <n v="456"/>
    <s v="0499"/>
    <s v="GUENAA"/>
    <d v="2022-08-10T00:00:00"/>
    <x v="8"/>
    <s v="GAA0768_x000a_GAA0769"/>
    <s v="FR-300-GAA-0219-2022"/>
    <s v="300-CMA-1974-2020"/>
    <s v="Suministro materiales de ferreteria y tubería para la construcción para la Unidad de Atención Operativa de la UENAA/ Suministro de herramientas y equipos para la Unidad de Atención Operativa de la GUENAA"/>
    <n v="1799959803"/>
    <s v="18 DE NOVIEMBRE 2022"/>
    <s v="N/A"/>
    <m/>
    <s v="202204510_x000a_202204511_x000a_202204512"/>
    <n v="1799959803"/>
    <s v="N/A"/>
    <s v="N/A"/>
    <s v="N/A"/>
    <x v="1"/>
    <s v="LUCY ARBELAEZ"/>
    <d v="2022-08-10T00:00:00"/>
    <e v="#VALUE!"/>
    <e v="#VALUE!"/>
    <s v="SI"/>
    <s v="Entregado al area"/>
    <x v="1"/>
    <m/>
    <m/>
    <d v="2022-09-08T00:00:00"/>
    <x v="11"/>
    <m/>
    <n v="29"/>
    <n v="29"/>
    <s v="N/A"/>
    <s v="FUNCIONAMIENTO"/>
    <s v="300-CMA-1974-2020/300-AO-2242-2022_x000a_300-CMA-1974-2020/300-AO-2242-2022"/>
    <d v="2022-09-15T00:00:00"/>
    <n v="1783140684"/>
    <s v="EQUIPOS Y HERRAMIENTAS INDUSTRIALES"/>
    <n v="202208290"/>
    <n v="16819119"/>
    <m/>
    <m/>
    <m/>
    <m/>
    <m/>
    <s v="CALI"/>
    <s v="LOCAL"/>
    <m/>
    <n v="9.3441636707483743E-3"/>
    <n v="1"/>
    <n v="0"/>
    <n v="29"/>
  </r>
  <r>
    <n v="457"/>
    <s v="0500"/>
    <s v="GAGHA"/>
    <d v="2022-08-10T00:00:00"/>
    <x v="8"/>
    <s v="GHA0236"/>
    <s v="FR-800-GHA-0159-2022"/>
    <s v="800-CMA-1914-2021"/>
    <s v="Realizar las actividades necesarias para llevar a cabo las adecuaciones locativas y mantenimiento preventivo y correctivo en la Gerencia de Unidad Estrategica de Negocio de Acueducto y Alcantarillado - Planta Calle 13, área auditorio"/>
    <n v="675958168"/>
    <s v="31 DE DICIEMBRE 2022"/>
    <s v="N/A"/>
    <m/>
    <n v="202203548"/>
    <n v="676000000"/>
    <s v="N/A"/>
    <s v="N/A"/>
    <s v="N/A"/>
    <x v="1"/>
    <s v="FRANCIA RAMÍREZ"/>
    <d v="2022-08-10T00:00:00"/>
    <e v="#VALUE!"/>
    <e v="#VALUE!"/>
    <s v="SI"/>
    <s v="Entregado al area"/>
    <x v="1"/>
    <m/>
    <m/>
    <d v="2022-09-26T00:00:00"/>
    <x v="11"/>
    <m/>
    <n v="47"/>
    <n v="47"/>
    <s v="N/A"/>
    <s v="FUNCIONAMIENTO"/>
    <s v="800-CMA-1914-2021/800-AO-2331-2022"/>
    <d v="2022-09-15T00:00:00"/>
    <n v="643929010"/>
    <s v="UNION TEMPORAL M&amp;C2021"/>
    <n v="202208538"/>
    <n v="32029158"/>
    <m/>
    <m/>
    <m/>
    <m/>
    <m/>
    <s v="CALI"/>
    <s v="LOCAL"/>
    <m/>
    <n v="4.7383343402398241E-2"/>
    <n v="0"/>
    <n v="0"/>
    <n v="47"/>
  </r>
  <r>
    <n v="458"/>
    <s v="0501"/>
    <s v="GAGHA"/>
    <d v="2022-08-10T00:00:00"/>
    <x v="8"/>
    <s v="GHA0264"/>
    <s v="FR-800-GHA-0179-2022"/>
    <s v="N/A"/>
    <s v="Realizar las actividades necesarias para construir un sistema de bombeo en el edificio Boulevar del Río de EMCALI"/>
    <n v="73187177"/>
    <s v="31 DE DICIEMBRE 2022"/>
    <s v="900-IP-0501-2022"/>
    <m/>
    <s v="202203556_x000a_202203592_x000a_202203629"/>
    <n v="73187177"/>
    <s v="N/A"/>
    <s v="N/A"/>
    <s v="N/A"/>
    <x v="2"/>
    <s v="JHON LARRY "/>
    <d v="2022-08-12T00:00:00"/>
    <e v="#VALUE!"/>
    <e v="#VALUE!"/>
    <s v="SI"/>
    <s v="Entregado al area"/>
    <x v="1"/>
    <m/>
    <m/>
    <d v="2022-09-23T00:00:00"/>
    <x v="11"/>
    <m/>
    <n v="44"/>
    <n v="42"/>
    <s v="G"/>
    <s v="FUNCIONAMIENTO"/>
    <s v="800-AO-2343-2022"/>
    <d v="2022-09-15T00:00:00"/>
    <n v="73187177"/>
    <s v="DIEGO MAURICIO ESTRADA CHAVEZ"/>
    <n v="202208575"/>
    <n v="0"/>
    <m/>
    <m/>
    <m/>
    <m/>
    <m/>
    <s v="CALI"/>
    <s v="LOCAL"/>
    <m/>
    <n v="0"/>
    <n v="0"/>
    <n v="1"/>
    <n v="26"/>
  </r>
  <r>
    <n v="459"/>
    <s v="0502"/>
    <s v="GAGHA"/>
    <d v="2022-08-10T00:00:00"/>
    <x v="8"/>
    <s v="GHA0069"/>
    <s v="FR-800-GHA-0186-2022"/>
    <s v="N/A"/>
    <s v="Realizar la compra de artículos de papelería, utiles de escritorio y oficina para las dependencias de EMCALI EICE ESP"/>
    <n v="489808988"/>
    <m/>
    <s v="900-IP-0502-2022"/>
    <s v="IP-"/>
    <s v="202204402_x000a_202204454_x000a_202202956_x000a_202203551_x000a_202203606_x000a_202201123_x000a_202205270"/>
    <m/>
    <s v="N/A"/>
    <s v="N/A"/>
    <s v="N/A"/>
    <x v="2"/>
    <s v="JULIETA ORTIZ"/>
    <d v="2022-08-12T00:00:00"/>
    <e v="#VALUE!"/>
    <e v="#VALUE!"/>
    <m/>
    <s v="Devuelto"/>
    <x v="2"/>
    <d v="2022-12-16T00:00:00"/>
    <s v="28 de septiembre en elaboracion de fpa e invitacion_x000a_12-11-2022 El FPA y La INVITACION PRIVADA ya fueron revisadas y se esta en el ajuste de las imputaciones presupuestales con el nuevo CDP expedido por SAP."/>
    <d v="2022-09-29T00:00:00"/>
    <x v="5"/>
    <s v="sep"/>
    <n v="50"/>
    <n v="48"/>
    <m/>
    <s v="FUNCIONAMIENTO"/>
    <m/>
    <m/>
    <m/>
    <m/>
    <m/>
    <m/>
    <m/>
    <m/>
    <m/>
    <m/>
    <m/>
    <m/>
    <m/>
    <m/>
    <m/>
    <n v="0"/>
    <m/>
    <m/>
  </r>
  <r>
    <n v="460"/>
    <s v="0503"/>
    <s v="GUENE"/>
    <d v="2022-08-11T00:00:00"/>
    <x v="8"/>
    <s v="GE0343"/>
    <s v="FR-500-GE-0241-2022"/>
    <s v="N/A"/>
    <s v="Suministro, montaje y puesta en funcionamiento de un Sistema Solar  Fotovoltaico de generación con potancia instalada en DC de 10 kWp, en el cliente Pranha Urbano Constructora"/>
    <n v="57218550"/>
    <m/>
    <s v="900-IP-0503-2022"/>
    <m/>
    <n v="202205609"/>
    <m/>
    <s v="N/A"/>
    <s v="N/A"/>
    <s v="N/A"/>
    <x v="2"/>
    <s v="PAOLA BELTRAN"/>
    <d v="2022-08-12T00:00:00"/>
    <n v="89"/>
    <n v="88"/>
    <s v="SI"/>
    <s v="Entregado al area"/>
    <x v="1"/>
    <s v="28 DE SEPTIEMBRE SOLICITUD DE POLIZAS"/>
    <m/>
    <d v="2022-10-18T00:00:00"/>
    <x v="12"/>
    <n v="68"/>
    <m/>
    <n v="67"/>
    <s v="G"/>
    <s v="INVERSION"/>
    <s v="500-AO-2344-2022"/>
    <d v="2022-09-15T00:00:00"/>
    <n v="57218550"/>
    <s v="WEEM ENERGY SAS"/>
    <n v="202208548"/>
    <n v="0"/>
    <s v="BOGOTA"/>
    <s v="NACIONAL"/>
    <m/>
    <m/>
    <m/>
    <m/>
    <m/>
    <m/>
    <n v="0"/>
    <n v="1"/>
    <n v="1"/>
    <n v="38"/>
  </r>
  <r>
    <n v="461"/>
    <s v="0504"/>
    <s v="GUENE"/>
    <d v="2022-08-11T00:00:00"/>
    <x v="8"/>
    <s v="GE0345"/>
    <s v="FR-500-GE-0242-2022"/>
    <s v="N/A"/>
    <s v="Suministro, montaje y puesta en funcionamiento de un Sistema Solar Fotovoltaico de generación con potencia instalada en DC de 20 kWp, en el cliente Centro Cultural de Cali."/>
    <n v="114437099"/>
    <m/>
    <s v="900-IP-0504-2022"/>
    <s v="IP-"/>
    <n v="202205611"/>
    <m/>
    <s v="N/A"/>
    <s v="N/A"/>
    <s v="N/A"/>
    <x v="2"/>
    <s v="PAOLA BELTRAN"/>
    <d v="2022-08-12T00:00:00"/>
    <e v="#VALUE!"/>
    <e v="#VALUE!"/>
    <s v="SI"/>
    <s v="Solicitud de Polizas y Rp"/>
    <x v="1"/>
    <m/>
    <s v="28 DE SEPTIEMBRE SOLICITUD DE POLIZAS"/>
    <d v="2022-10-10T00:00:00"/>
    <x v="13"/>
    <s v="oct"/>
    <n v="60"/>
    <n v="59"/>
    <s v="G"/>
    <s v="INVERSION"/>
    <s v="500-AO-2345-2022"/>
    <d v="2022-09-15T00:00:00"/>
    <n v="114437099"/>
    <s v="GRUPO DE INGENIERIA E INVERSIONES SAS"/>
    <n v="202208508"/>
    <n v="0"/>
    <m/>
    <m/>
    <m/>
    <m/>
    <m/>
    <m/>
    <m/>
    <m/>
    <n v="0"/>
    <n v="1"/>
    <n v="1"/>
    <n v="28"/>
  </r>
  <r>
    <n v="462"/>
    <s v="0505"/>
    <s v="GUENE"/>
    <d v="2022-08-11T00:00:00"/>
    <x v="8"/>
    <s v="GE0344"/>
    <s v="FR-500-GE-0243-2022"/>
    <s v="N/A"/>
    <s v="Suministro, montaje y puesta en funcionamiento de un Sistema Solar Fotovoltaico de generación con potencia instalada en DC de 12 kWp, en el cliente Institución Educativa Decepaz"/>
    <n v="68662260"/>
    <m/>
    <s v="900-IP-0505-2022"/>
    <s v="IP-"/>
    <n v="202205610"/>
    <m/>
    <s v="N/A"/>
    <s v="N/A"/>
    <s v="N/A"/>
    <x v="2"/>
    <s v="PAOLA BELTRAN"/>
    <d v="2022-08-12T00:00:00"/>
    <e v="#VALUE!"/>
    <e v="#VALUE!"/>
    <s v="SI"/>
    <s v="Solicitud de Polizas y Rp"/>
    <x v="1"/>
    <d v="2022-11-30T00:00:00"/>
    <s v="28 DE SEPTIEMBRE SOLICITUD DE POLIZAS"/>
    <d v="2022-10-10T00:00:00"/>
    <x v="13"/>
    <s v="oct"/>
    <n v="60"/>
    <n v="59"/>
    <s v="G"/>
    <s v="INVERSION"/>
    <s v="500-AO-2346-2022"/>
    <d v="2022-09-15T00:00:00"/>
    <n v="68662260"/>
    <s v="ENERWATTS INGENIERIA SAS "/>
    <n v="202208540"/>
    <n v="0"/>
    <m/>
    <m/>
    <m/>
    <m/>
    <m/>
    <m/>
    <m/>
    <m/>
    <n v="0"/>
    <n v="1"/>
    <n v="1"/>
    <n v="28"/>
  </r>
  <r>
    <n v="463"/>
    <s v="0506"/>
    <s v="GUENE"/>
    <d v="2022-08-11T00:00:00"/>
    <x v="8"/>
    <s v="GE0347"/>
    <s v="FR-500-GE-0245-2022"/>
    <s v="N/A"/>
    <s v="Suministro, montaje y puesta en funcionamiento de un Sistema Solar Fotovoltaico de generación con potencia instalada en DC de 200 kWp, para el cliente TELEFONICA DE COLON EMCALI"/>
    <n v="1032986133"/>
    <m/>
    <s v="900-IPU-0506-2022"/>
    <s v="IPU"/>
    <n v="202205613"/>
    <m/>
    <s v="N/A"/>
    <s v="N/A"/>
    <s v="N/A"/>
    <x v="0"/>
    <s v="PAOLA BELTRAN"/>
    <d v="2022-08-24T00:00:00"/>
    <e v="#VALUE!"/>
    <e v="#VALUE!"/>
    <s v="NO"/>
    <s v="Devuelto"/>
    <x v="2"/>
    <m/>
    <s v="28 DE SEPTIEMBRE EN REVISON DE LA CC POR PARTE DE SILVIA_x000a_31 DE OCTUBRE SE DEVUELVE PORQUE NO SE ALCANZA A TRAMITAR"/>
    <d v="2022-10-31T00:00:00"/>
    <x v="5"/>
    <s v="oct"/>
    <n v="81"/>
    <n v="68"/>
    <s v="N/A"/>
    <s v="INVERSION"/>
    <m/>
    <m/>
    <m/>
    <m/>
    <m/>
    <m/>
    <m/>
    <m/>
    <m/>
    <m/>
    <m/>
    <m/>
    <m/>
    <m/>
    <m/>
    <n v="1"/>
    <m/>
    <m/>
  </r>
  <r>
    <n v="464"/>
    <s v="0507"/>
    <s v="GUENAA"/>
    <d v="2022-08-11T00:00:00"/>
    <x v="8"/>
    <s v="GAA0105"/>
    <s v="FR-300-GAA-0221-2022"/>
    <s v="N/A"/>
    <s v="Mantenimiento de Planta Eléctrica de Emergencia - Planta Calle 13 y del CCM"/>
    <n v="23000000"/>
    <s v="45 DIAS"/>
    <s v="900-IP-0507-2022"/>
    <m/>
    <n v="202204377"/>
    <n v="23000000"/>
    <s v="N/A"/>
    <s v="N/A"/>
    <s v="N/A"/>
    <x v="2"/>
    <s v="JULIETA ORTIZ"/>
    <d v="2022-08-12T00:00:00"/>
    <e v="#VALUE!"/>
    <e v="#VALUE!"/>
    <s v="SI"/>
    <s v="Entregado al area"/>
    <x v="1"/>
    <m/>
    <m/>
    <d v="2022-09-26T00:00:00"/>
    <x v="11"/>
    <m/>
    <n v="46"/>
    <n v="45"/>
    <s v="G"/>
    <s v="FUNCIONAMIENTO"/>
    <s v="300-AO-2370-2022"/>
    <d v="2022-09-15T00:00:00"/>
    <n v="22478745"/>
    <s v="LACC INGENIERA SAS"/>
    <n v="202208530"/>
    <n v="521255"/>
    <m/>
    <m/>
    <m/>
    <m/>
    <m/>
    <s v="CALI"/>
    <s v="LOCAL"/>
    <m/>
    <n v="2.2663260869565216E-2"/>
    <n v="1"/>
    <n v="1"/>
    <n v="32"/>
  </r>
  <r>
    <n v="465"/>
    <s v="0508"/>
    <s v="GAGHA"/>
    <d v="2022-08-11T00:00:00"/>
    <x v="8"/>
    <s v="GHA0248"/>
    <s v="FR-800-GHA-0178-2022"/>
    <s v="800-CMA-1925-2021"/>
    <s v="Realizar las actividades necesarias para llevar a cabo las adecuaciones locativas y mantenimiento preventivo y correctivo en las sedes pertenecientes al corporativo de EMCALI - Almacen Central y Centro de Atención y Recaudo del Centro Comercial La Estación"/>
    <n v="479666592"/>
    <s v="31 DE DICIEMBRE 2022"/>
    <s v="N/A"/>
    <m/>
    <n v="202204126"/>
    <n v="479666592"/>
    <s v="N/A"/>
    <s v="N/A"/>
    <s v="N/A"/>
    <x v="1"/>
    <s v="FRANCIA RAMÍREZ"/>
    <d v="2022-08-11T00:00:00"/>
    <e v="#VALUE!"/>
    <e v="#VALUE!"/>
    <s v="SI"/>
    <s v="Entregado al area"/>
    <x v="1"/>
    <m/>
    <m/>
    <d v="2022-09-26T00:00:00"/>
    <x v="11"/>
    <m/>
    <n v="46"/>
    <n v="46"/>
    <s v="N/A"/>
    <s v="FUNCIONAMIENTO"/>
    <s v="800-CMA-1925-2021/800-AO-2334-2022"/>
    <d v="2022-09-15T00:00:00"/>
    <n v="468344128"/>
    <s v="CONSORCIO DOMAQ 2021"/>
    <n v="202208537"/>
    <n v="11322464"/>
    <m/>
    <m/>
    <m/>
    <m/>
    <m/>
    <s v="CALI"/>
    <s v="LOCAL"/>
    <m/>
    <n v="2.3604862604231565E-2"/>
    <n v="0"/>
    <n v="0"/>
    <n v="46"/>
  </r>
  <r>
    <n v="466"/>
    <s v="0509"/>
    <s v="GUENAA"/>
    <d v="2022-08-11T00:00:00"/>
    <x v="8"/>
    <s v="GAA0778"/>
    <s v="FR-300-GAA-0220-2022"/>
    <s v="N/A"/>
    <s v="Prestación del servicio de transporte para el seguimiento y control de las actividades operativas que contribuyen al cumplimiento del Plan de Reducción de Perdidas de la UENAA establecido ante la SSPD"/>
    <n v="127950000"/>
    <s v="90 DIAS"/>
    <s v="900-IP-0509-2022"/>
    <m/>
    <s v="202205458_x000a_202205429"/>
    <n v="127950000"/>
    <s v="N/A"/>
    <s v="N/A"/>
    <s v="N/A"/>
    <x v="2"/>
    <s v="PAOLA BELTRAN"/>
    <d v="2022-08-11T00:00:00"/>
    <e v="#VALUE!"/>
    <e v="#VALUE!"/>
    <s v="SI"/>
    <s v="Entregado al area"/>
    <x v="1"/>
    <m/>
    <m/>
    <d v="2022-09-15T00:00:00"/>
    <x v="11"/>
    <m/>
    <n v="35"/>
    <n v="35"/>
    <s v="G"/>
    <s v="FUNCIONAMIENTO"/>
    <s v="300-AO-2262-2022"/>
    <d v="2022-09-08T00:00:00"/>
    <n v="107439632"/>
    <s v="FERNANDO CAICEDO SUAREZ"/>
    <m/>
    <n v="20510368"/>
    <m/>
    <m/>
    <m/>
    <m/>
    <m/>
    <s v="CALI"/>
    <s v="LOCAL"/>
    <m/>
    <n v="0.16029986713559985"/>
    <n v="1"/>
    <n v="1"/>
    <n v="25"/>
  </r>
  <r>
    <n v="467"/>
    <s v="0510"/>
    <s v="GUENE"/>
    <d v="2022-08-11T00:00:00"/>
    <x v="8"/>
    <s v="GE0280"/>
    <s v="FR-500-GE-0204-2022"/>
    <s v="N/A"/>
    <s v="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
    <n v="1799998547"/>
    <m/>
    <s v="900-IP-510-2022"/>
    <s v="IP-"/>
    <s v="202203496_x000a_202203505"/>
    <m/>
    <s v="108-202200011"/>
    <s v="N/A"/>
    <s v="N/A"/>
    <x v="2"/>
    <s v="JULIETA ORTIZ"/>
    <d v="2022-08-12T00:00:00"/>
    <e v="#VALUE!"/>
    <e v="#VALUE!"/>
    <s v="NO"/>
    <s v="Devuelto"/>
    <x v="2"/>
    <m/>
    <s v="31 de agosto en unificacion de los conceptos_x000a_28 DE  SEPTIEMBRE EN ELABOACION DE LA FPA E INVITACION El FPA esta lista para revision y en elaboracion La CC, para continuar con el proceso. _x000a_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
    <d v="2022-11-11T00:00:00"/>
    <x v="5"/>
    <s v="nov"/>
    <n v="92"/>
    <n v="91"/>
    <m/>
    <s v="INVERSION"/>
    <m/>
    <m/>
    <m/>
    <m/>
    <m/>
    <m/>
    <m/>
    <m/>
    <m/>
    <m/>
    <m/>
    <m/>
    <m/>
    <m/>
    <m/>
    <n v="1"/>
    <m/>
    <m/>
  </r>
  <r>
    <n v="468"/>
    <s v="0511"/>
    <s v="GUENE"/>
    <d v="2022-08-11T00:00:00"/>
    <x v="8"/>
    <s v="GE0363"/>
    <s v="FR-500-GE-0244-2022"/>
    <s v="N/A"/>
    <s v="Servicios de prueba de aceptación y diagnóstigo a una terna de cables subterráneos del circuito AUTOPISTA"/>
    <n v="6220169"/>
    <s v="2 MESES"/>
    <s v="900-IP-0511-2022"/>
    <m/>
    <n v="202205585"/>
    <n v="6300000"/>
    <s v="N/A"/>
    <s v="N/A"/>
    <s v="N/A"/>
    <x v="2"/>
    <s v="JULIO ERAZO"/>
    <d v="2022-08-12T00:00:00"/>
    <e v="#VALUE!"/>
    <e v="#VALUE!"/>
    <s v="SI"/>
    <s v="Entregado al area"/>
    <x v="1"/>
    <m/>
    <m/>
    <d v="2022-09-12T00:00:00"/>
    <x v="11"/>
    <m/>
    <n v="32"/>
    <n v="31"/>
    <s v="G"/>
    <s v="FUNCIONAMIENTO"/>
    <s v="500-AO-2255-2022"/>
    <d v="2022-09-07T00:00:00"/>
    <n v="6220169"/>
    <s v="POTENCIAS Y TECNOLOGIAS INCORPORADAS SA "/>
    <n v="202208341"/>
    <n v="0"/>
    <m/>
    <m/>
    <m/>
    <m/>
    <m/>
    <m/>
    <m/>
    <m/>
    <n v="0"/>
    <n v="1"/>
    <n v="1"/>
    <n v="22"/>
  </r>
  <r>
    <n v="469"/>
    <s v="0512"/>
    <s v="GUENAA"/>
    <d v="2022-08-12T00:00:00"/>
    <x v="8"/>
    <s v="GAA0784"/>
    <s v="FR-300-GAA-0222-2022"/>
    <s v="N/A"/>
    <s v="Construcción camara en concreto reforzado barrio Lourdes"/>
    <n v="240344958"/>
    <s v="70 DIAS"/>
    <s v="900-IP-0512-2022"/>
    <m/>
    <n v="202204550"/>
    <n v="260000000"/>
    <s v="N/A"/>
    <s v="N/A"/>
    <s v="N/A"/>
    <x v="2"/>
    <s v="LAURA ANGEL"/>
    <d v="2022-08-12T00:00:00"/>
    <m/>
    <m/>
    <s v="SI"/>
    <s v="Entregado al area"/>
    <x v="1"/>
    <m/>
    <m/>
    <d v="2022-08-30T00:00:00"/>
    <x v="1"/>
    <m/>
    <n v="18"/>
    <n v="18"/>
    <s v="G"/>
    <s v="INVERSION"/>
    <s v="300-AO-2212-2022"/>
    <d v="2022-08-26T00:00:00"/>
    <n v="240014937"/>
    <s v="ALVARO LAZARO DEL VALLE"/>
    <n v="202207960"/>
    <n v="330021"/>
    <m/>
    <m/>
    <m/>
    <m/>
    <m/>
    <s v="CALI"/>
    <s v="LOCAL"/>
    <m/>
    <n v="1.3731138890793789E-3"/>
    <n v="1"/>
    <n v="1"/>
    <n v="12"/>
  </r>
  <r>
    <n v="470"/>
    <s v="0513"/>
    <s v="GUENAA"/>
    <d v="2022-08-12T00:00:00"/>
    <x v="8"/>
    <s v="GAA0783"/>
    <s v="FR-300-GAA-0223-2022"/>
    <s v="N/A"/>
    <s v="Reposición redes de Acueducto y Alcantarillado Comunas 1, 18 y 20 y reposición Acueducto barrio Manzanares"/>
    <n v="147703526"/>
    <s v="18 DE NOVIEMBRE 2022"/>
    <s v="900-IP-0513-2022"/>
    <m/>
    <n v="202205571"/>
    <n v="147703526"/>
    <s v="N/A"/>
    <s v="N/A"/>
    <s v="N/A"/>
    <x v="2"/>
    <s v="LAURA ANGEL"/>
    <d v="2022-08-12T00:00:00"/>
    <m/>
    <m/>
    <s v="SI"/>
    <s v="Entregado al area"/>
    <x v="1"/>
    <m/>
    <m/>
    <d v="2022-08-31T00:00:00"/>
    <x v="1"/>
    <m/>
    <n v="19"/>
    <n v="19"/>
    <s v="G"/>
    <s v="INVERSION"/>
    <s v="300-AO-2209-2022"/>
    <d v="2022-08-26T00:00:00"/>
    <n v="147701432"/>
    <s v="ICONSA INGENIEROS  CONSTRUCTORES ASOCIADOS LTDA"/>
    <n v="202207956"/>
    <n v="2094"/>
    <m/>
    <m/>
    <m/>
    <m/>
    <m/>
    <s v="CALI"/>
    <s v="LOCAL"/>
    <m/>
    <n v="1.4177048149818712E-5"/>
    <n v="1"/>
    <n v="1"/>
    <n v="13"/>
  </r>
  <r>
    <n v="471"/>
    <s v="0514"/>
    <s v="GUENT"/>
    <d v="2022-08-16T00:00:00"/>
    <x v="8"/>
    <s v="PENDIENTE"/>
    <s v="FR-400-GT-0158-2022"/>
    <s v="N/A"/>
    <s v="Suministro y capacitación de EQUIPOS DE COMUNICACIONES Y software de Gestión de Redes Inalambricas Site Survey, para apoyar y soportar las isntalaciones de soluciones de Gobierno, Corporativas y/o empresariales y eventos"/>
    <n v="1000000000"/>
    <s v="60 DIAS"/>
    <s v="900-IP-0514-2022"/>
    <m/>
    <n v="202203593"/>
    <m/>
    <s v="N/A"/>
    <s v="N/A"/>
    <s v="N/A"/>
    <x v="2"/>
    <s v="JULIETA ORTIZ"/>
    <d v="2022-08-16T00:00:00"/>
    <e v="#VALUE!"/>
    <e v="#VALUE!"/>
    <s v="SI"/>
    <s v="Entregado al area"/>
    <x v="1"/>
    <m/>
    <m/>
    <d v="2022-09-22T00:00:00"/>
    <x v="11"/>
    <m/>
    <n v="37"/>
    <n v="37"/>
    <s v="B"/>
    <s v="INVERSION"/>
    <s v="400-AO-2364-2022"/>
    <d v="2022-09-15T00:00:00"/>
    <n v="958726933"/>
    <s v="BOYRA SA"/>
    <n v="202208550"/>
    <n v="41273067"/>
    <m/>
    <m/>
    <m/>
    <m/>
    <m/>
    <s v="BOGOTA"/>
    <s v="NACIONAL"/>
    <m/>
    <n v="4.1273066999999997E-2"/>
    <n v="1"/>
    <n v="1"/>
    <n v="27"/>
  </r>
  <r>
    <n v="472"/>
    <s v="0515"/>
    <s v="GUENAA"/>
    <d v="2022-08-16T00:00:00"/>
    <x v="8"/>
    <s v="PENDIENTE"/>
    <s v="FR-300-GAA-0075-2022"/>
    <s v="N/A"/>
    <s v="Suministro de lubricantes para todas las estaciones de bombeo de aguas lluvias y/o residuales"/>
    <n v="52771303"/>
    <s v="3 MESES"/>
    <s v="900-IP-0515-2022"/>
    <m/>
    <n v="202201835"/>
    <n v="52771303"/>
    <s v="N/A"/>
    <s v="N/A"/>
    <s v="N/A"/>
    <x v="2"/>
    <s v="JULIO GARCIA"/>
    <d v="2022-08-16T00:00:00"/>
    <n v="29"/>
    <n v="29"/>
    <s v="SI"/>
    <s v="Entregado al area"/>
    <x v="1"/>
    <m/>
    <m/>
    <d v="2022-08-25T00:00:00"/>
    <x v="1"/>
    <m/>
    <n v="9"/>
    <n v="9"/>
    <s v="G"/>
    <s v="FUNCIONAMIENTO"/>
    <s v="300-AO-2194-2022"/>
    <d v="2022-08-24T00:00:00"/>
    <n v="52750385"/>
    <s v="MUNDIAL DE FILTROS"/>
    <n v="202207896"/>
    <n v="20918"/>
    <m/>
    <m/>
    <m/>
    <m/>
    <m/>
    <s v="CALI"/>
    <s v="LOCAL"/>
    <m/>
    <n v="3.963896817177321E-4"/>
    <n v="1"/>
    <n v="1"/>
    <n v="7"/>
  </r>
  <r>
    <n v="473"/>
    <s v="0517"/>
    <s v="GUENE"/>
    <d v="2022-08-17T00:00:00"/>
    <x v="8"/>
    <s v="GE0376"/>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517-2022"/>
    <s v="IP-"/>
    <n v="202202695"/>
    <m/>
    <s v="108-202200003"/>
    <s v="N/A"/>
    <s v="N/A"/>
    <x v="2"/>
    <s v="HAROLD MONDRAGON"/>
    <d v="2022-08-17T00:00:00"/>
    <e v="#VALUE!"/>
    <e v="#VALUE!"/>
    <s v="NO"/>
    <s v="Cerrado"/>
    <x v="0"/>
    <d v="2022-11-24T00:00:00"/>
    <s v="31 de agosto en recepcion de ofertas_x000a_26 DE SEPTIEMBRE EN ESPERA DE LA FIRMA DEL ACTA DE ADJUDICACION. QUEDO PENDIENTE LA FIRMA DEL GERENTE GENERAL_x000a_09-11-2022, EN DIRECCION JURIDICA GG_x000a_18-11-2022, acta de cierre para firma de GG_x000a_24-11-2022, SE PUBLICOACTA DE TERMINACION EL 23-11-2022"/>
    <d v="2022-11-23T00:00:00"/>
    <x v="5"/>
    <s v="nov"/>
    <n v="98"/>
    <n v="98"/>
    <s v="B"/>
    <s v="FUNCIONAMIENTO"/>
    <m/>
    <m/>
    <m/>
    <m/>
    <m/>
    <m/>
    <m/>
    <m/>
    <m/>
    <m/>
    <m/>
    <m/>
    <m/>
    <m/>
    <m/>
    <n v="1"/>
    <m/>
    <m/>
  </r>
  <r>
    <n v="474"/>
    <s v="0518"/>
    <s v="GUENT"/>
    <d v="2022-08-17T00:00:00"/>
    <x v="8"/>
    <s v="GT0175"/>
    <s v="FR-400-GT-0198-2022"/>
    <s v="N/A"/>
    <s v="Realizar el mantenimiento al Sistema de Extinción de Incendios de los DATA CENTER de LIMONAR Y SAN FERNANDO pertenecientes a la GUENTIC de EMCALI EICE ESP"/>
    <n v="11201470"/>
    <s v="28 DE NOVIEMBRE 2022"/>
    <s v="900-IP-0518-2022"/>
    <m/>
    <n v="202202937"/>
    <n v="12000000"/>
    <s v="N/A"/>
    <s v="N/A"/>
    <s v="N/A"/>
    <x v="2"/>
    <s v="CAMILO NUÑEZ"/>
    <d v="2022-08-19T00:00:00"/>
    <n v="83"/>
    <n v="81"/>
    <s v="SI"/>
    <s v="Entregado al area"/>
    <x v="1"/>
    <s v="28 DE SEPTIEMBRE EN SOLICITUD DE POLIZAS"/>
    <m/>
    <d v="2022-10-06T00:00:00"/>
    <x v="12"/>
    <n v="50"/>
    <m/>
    <n v="48"/>
    <s v="G"/>
    <s v="FUNCIONAMIENTO"/>
    <s v="400-AO-2287-2022"/>
    <d v="2022-09-14T00:00:00"/>
    <n v="11201470"/>
    <s v="TECHNO FUEGO SAS"/>
    <n v="202208435"/>
    <n v="0"/>
    <s v="CALI"/>
    <s v="LOCAL"/>
    <m/>
    <m/>
    <m/>
    <m/>
    <m/>
    <m/>
    <n v="0"/>
    <n v="1"/>
    <n v="1"/>
    <n v="36"/>
  </r>
  <r>
    <n v="475"/>
    <s v="0519"/>
    <s v="GUENTIC"/>
    <d v="2022-08-17T00:00:00"/>
    <x v="8"/>
    <s v="GT0182_x000a_GT0183"/>
    <s v="FR-400-GT-0196-2022"/>
    <s v="N/A"/>
    <s v="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
    <n v="205244893"/>
    <m/>
    <s v="900-IP-0519-2022"/>
    <s v="IP-"/>
    <s v="202204554_x000a_202205462"/>
    <m/>
    <s v="N/A"/>
    <s v="N/A"/>
    <s v="N/A"/>
    <x v="2"/>
    <s v="JULIETA ORTIZ"/>
    <d v="2022-08-19T00:00:00"/>
    <e v="#VALUE!"/>
    <e v="#VALUE!"/>
    <m/>
    <s v="Cerrado"/>
    <x v="0"/>
    <d v="2022-12-09T00:00:00"/>
    <s v="28 de septiembre en revision de la fpa e invitacion_x000a_12-11-2022, El FPA y La INVITACION PRIVADA ya fueron y se esta en el ajuste de las imputaciones presupuestales con el nuevo CDP expedido a traves de SAP._x000a_16-12-2022, PROCESO CERRADO PORQUE NO SE RECIBIERON COTIZACIONES "/>
    <d v="2022-12-16T00:00:00"/>
    <x v="5"/>
    <s v="dic"/>
    <n v="121"/>
    <n v="119"/>
    <m/>
    <s v="FUNCIONAMIENTO"/>
    <m/>
    <m/>
    <m/>
    <m/>
    <m/>
    <m/>
    <m/>
    <m/>
    <m/>
    <m/>
    <m/>
    <m/>
    <m/>
    <m/>
    <m/>
    <n v="0"/>
    <m/>
    <m/>
  </r>
  <r>
    <n v="476"/>
    <s v="0520"/>
    <s v="GUENE"/>
    <d v="2022-08-17T00:00:00"/>
    <x v="8"/>
    <s v="GE0290_x000a_GE0328"/>
    <s v="FR-500-GE-0237-2022"/>
    <s v="N/A"/>
    <s v="Suministro DDP de transformadores eléctricos de distribución"/>
    <n v="736990800"/>
    <m/>
    <s v="900-IP-0520-2022"/>
    <s v="IP-"/>
    <s v="202205605_x000a_202205608"/>
    <m/>
    <s v="N/A"/>
    <s v="N/A"/>
    <s v="N/A"/>
    <x v="2"/>
    <s v="JULIETA ORTIZ"/>
    <d v="2022-08-19T00:00:00"/>
    <e v="#VALUE!"/>
    <e v="#VALUE!"/>
    <m/>
    <s v="Cerrado"/>
    <x v="0"/>
    <d v="2022-12-16T00:00:00"/>
    <s v="28 DE SEPTIEMBRE EN COTIZACIONES _x000a_12-11-2022, El FPA esta lista para revision y en elaboracion la INVITACION, se recibio por parte del Area las modificaciones a la Ficha de Requerimiento, Presupuesto etc.,se esta en la etapa de solicitud de cotizaciones._x000a_09-12-2022, NO SE RECIBIERON OFERTAS "/>
    <d v="2022-12-16T00:00:00"/>
    <x v="5"/>
    <s v="dic"/>
    <n v="121"/>
    <n v="119"/>
    <m/>
    <s v="INVERSION"/>
    <m/>
    <m/>
    <m/>
    <m/>
    <m/>
    <m/>
    <m/>
    <m/>
    <m/>
    <m/>
    <m/>
    <m/>
    <m/>
    <m/>
    <m/>
    <n v="1"/>
    <m/>
    <m/>
  </r>
  <r>
    <n v="477"/>
    <s v="0521"/>
    <s v="GUENE"/>
    <d v="2022-08-17T00:00:00"/>
    <x v="8"/>
    <s v="GE0378"/>
    <s v="FR-500-GE-0249-2022"/>
    <s v="500-CMA-1743-2021"/>
    <s v="Suministro de cable eléctrico - para acometida AC de proyecto solar. Planta de Tratamiento de Agua Potable Río Cauca."/>
    <n v="180708116"/>
    <s v="45 DIAS"/>
    <s v="N/A"/>
    <m/>
    <n v="202205619"/>
    <n v="180708116"/>
    <s v="N/A"/>
    <s v="N/A"/>
    <s v="N/A"/>
    <x v="1"/>
    <s v="ESTEFANIA SANCHEZ"/>
    <d v="2022-08-19T00:00:00"/>
    <e v="#VALUE!"/>
    <e v="#VALUE!"/>
    <s v="SI"/>
    <s v="Entregado al area"/>
    <x v="1"/>
    <m/>
    <m/>
    <d v="2022-09-14T00:00:00"/>
    <x v="11"/>
    <m/>
    <n v="28"/>
    <n v="26"/>
    <s v="N/A"/>
    <s v="INVERSION"/>
    <s v="CMA-1743-2021/500-AO-2237-2022"/>
    <d v="2022-09-01T00:00:00"/>
    <n v="180708116"/>
    <s v="CABLES DE ENERGIA Y TELECOMUNICACIONES SAS"/>
    <n v="202208293"/>
    <n v="0"/>
    <m/>
    <m/>
    <m/>
    <m/>
    <m/>
    <s v="YUMBO"/>
    <s v="MUNICIPAL"/>
    <m/>
    <n v="0"/>
    <n v="1"/>
    <n v="0"/>
    <n v="28"/>
  </r>
  <r>
    <n v="478"/>
    <s v="0522"/>
    <s v="GUENE"/>
    <d v="2022-08-18T00:00:00"/>
    <x v="8"/>
    <s v="GE0377"/>
    <s v="FR-500-GE-0196-2022"/>
    <s v="N/A"/>
    <s v="Suministro DDP y configuaración de medidores ION SCHNEIDER 92040 para la calidad de la energía en subestaciones, , clase A."/>
    <n v="886776000"/>
    <m/>
    <s v="900-IP-0522-2022"/>
    <s v="IP-"/>
    <n v="202202877"/>
    <m/>
    <s v="N/A"/>
    <s v="N/A"/>
    <s v="N/A"/>
    <x v="2"/>
    <s v="JULIETA ORTIZ"/>
    <d v="2022-08-18T00:00:00"/>
    <e v="#VALUE!"/>
    <e v="#VALUE!"/>
    <m/>
    <s v="Entregado al area"/>
    <x v="1"/>
    <d v="2022-12-16T00:00:00"/>
    <s v="28 de septiembre 2022 en evaluacion_x000a_ 12-11-2022, El IPU-0276 se Cerro y el 900-IP-0522-2022 esta en Evaluacion de la Propuesta recibida. Se eleboro AO. "/>
    <d v="2022-12-12T00:00:00"/>
    <x v="14"/>
    <s v="dic"/>
    <n v="116"/>
    <n v="116"/>
    <s v="G"/>
    <s v="INVERSION"/>
    <s v="500-AO-2451-2022"/>
    <d v="2022-12-06T00:00:00"/>
    <n v="882875280"/>
    <s v="SOLLIVAN SMART SOLUTION SAS"/>
    <n v="202208815"/>
    <n v="3900720"/>
    <m/>
    <m/>
    <m/>
    <m/>
    <m/>
    <m/>
    <m/>
    <m/>
    <n v="4.3987658664645865E-3"/>
    <n v="1"/>
    <n v="1"/>
    <n v="55"/>
  </r>
  <r>
    <n v="479"/>
    <s v="0523"/>
    <s v="GUENE"/>
    <d v="2022-08-18T00:00:00"/>
    <x v="8"/>
    <s v="GE0374"/>
    <s v="FR-500-GE-0239-2022"/>
    <s v="N/A"/>
    <s v="Mantenimiento Preventivo a Equipo Cromatrografo de Gases"/>
    <n v="9191539"/>
    <m/>
    <s v="900-IP-0523-2022"/>
    <s v="IP-"/>
    <n v="202205584"/>
    <m/>
    <s v="N/A"/>
    <s v="N/A"/>
    <s v="N/A"/>
    <x v="2"/>
    <s v="CAMILO NUÑEZ"/>
    <d v="2022-08-19T00:00:00"/>
    <e v="#VALUE!"/>
    <e v="#VALUE!"/>
    <s v="NO"/>
    <s v="Devuelto"/>
    <x v="2"/>
    <m/>
    <s v="28 DE SEPTIEMBRE DEVUELTO"/>
    <d v="2022-09-28T00:00:00"/>
    <x v="5"/>
    <s v="sep"/>
    <n v="41"/>
    <n v="40"/>
    <s v="G"/>
    <s v="FUNCIONAMIENTO"/>
    <m/>
    <m/>
    <m/>
    <m/>
    <m/>
    <m/>
    <m/>
    <m/>
    <m/>
    <m/>
    <m/>
    <m/>
    <m/>
    <m/>
    <m/>
    <n v="1"/>
    <m/>
    <m/>
  </r>
  <r>
    <n v="480"/>
    <s v="0524"/>
    <s v="GUENE"/>
    <d v="2022-08-18T00:00:00"/>
    <x v="8"/>
    <s v="GE0232"/>
    <s v="FR-500-GE-0248-2022"/>
    <s v="N/A"/>
    <s v="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
    <n v="8045091691"/>
    <m/>
    <s v="900-IP-524-2022"/>
    <s v="IP-"/>
    <n v="202204413"/>
    <m/>
    <m/>
    <m/>
    <s v="N/A"/>
    <x v="2"/>
    <s v="HAROLD MONDRAGON"/>
    <d v="2022-08-19T00:00:00"/>
    <e v="#VALUE!"/>
    <e v="#VALUE!"/>
    <m/>
    <s v="Cerrado"/>
    <x v="0"/>
    <d v="2022-11-30T00:00:00"/>
    <s v="28 DE SEPTIEMBRE EN EVALUACION_x000a_18-11-2022, proponente no cumple requisitos de idoneidad y financieros_x000a_30-11-2022, PROCESO CERRADO PENDIENTE FIRMA ACTA CIERRE POR PARTE DE GG"/>
    <d v="2022-11-30T00:00:00"/>
    <x v="5"/>
    <s v="nov"/>
    <n v="104"/>
    <n v="103"/>
    <s v="D"/>
    <s v="INVERSION"/>
    <m/>
    <m/>
    <m/>
    <m/>
    <m/>
    <m/>
    <m/>
    <m/>
    <m/>
    <m/>
    <m/>
    <m/>
    <m/>
    <m/>
    <m/>
    <n v="1"/>
    <m/>
    <m/>
  </r>
  <r>
    <n v="481"/>
    <s v="0525"/>
    <s v="GC"/>
    <d v="2022-08-19T00:00:00"/>
    <x v="8"/>
    <s v="GC0515"/>
    <s v="FR-600-GC-0558-2022"/>
    <s v="N/A"/>
    <s v="Compra televisores, soportes para televisores y hornos microondas para los Centros de Atención y el Contact Center de EMCALI EICE ESP"/>
    <n v="43500000"/>
    <m/>
    <m/>
    <s v=""/>
    <n v="202201388"/>
    <m/>
    <m/>
    <m/>
    <s v="N/A"/>
    <x v="3"/>
    <s v="SIN ASIGNAR"/>
    <m/>
    <e v="#VALUE!"/>
    <e v="#VALUE!"/>
    <s v="NO"/>
    <s v="Devuelto"/>
    <x v="2"/>
    <m/>
    <m/>
    <d v="2022-11-15T00:00:00"/>
    <x v="5"/>
    <s v="nov"/>
    <n v="88"/>
    <n v="44880"/>
    <m/>
    <s v="FUNCIONAMIENTO"/>
    <m/>
    <m/>
    <m/>
    <m/>
    <m/>
    <m/>
    <m/>
    <m/>
    <m/>
    <m/>
    <m/>
    <m/>
    <m/>
    <m/>
    <m/>
    <n v="0"/>
    <m/>
    <m/>
  </r>
  <r>
    <n v="482"/>
    <s v="0526"/>
    <s v="GUENE"/>
    <d v="2022-08-19T00:00:00"/>
    <x v="8"/>
    <s v="GE0357"/>
    <s v="FR-500-GE-0252-2022"/>
    <s v="N/A"/>
    <s v="Suministro de probador de relación de transformación T.T.R. portatil, para redes de media y baja tensión del SDL de EMCALI"/>
    <n v="62237000"/>
    <m/>
    <s v="900-IP-526-2022"/>
    <s v="IP-"/>
    <n v="202205607"/>
    <m/>
    <s v="N/A"/>
    <s v="N/A"/>
    <s v="N/A"/>
    <x v="2"/>
    <s v="CARLOS RODRIGUEZ"/>
    <d v="2022-08-22T00:00:00"/>
    <e v="#VALUE!"/>
    <e v="#VALUE!"/>
    <m/>
    <s v="Cerrado"/>
    <x v="0"/>
    <d v="2022-11-30T00:00:00"/>
    <s v="28 DE SEPTIEMBRE EN SOLCIITUD DE POLIZAS_x000a_15-11-2022, SE DEBEN AJUSTAR VALORES POR PARTE DEL AREA _x000a_30-11-2022, PROCESO CERRADO MEDIANTE ACTA DE FECHA 23 NOV 2022"/>
    <d v="2022-11-30T00:00:00"/>
    <x v="5"/>
    <s v="nov"/>
    <n v="103"/>
    <n v="100"/>
    <s v="G"/>
    <s v="INVERSION"/>
    <m/>
    <m/>
    <m/>
    <m/>
    <m/>
    <m/>
    <m/>
    <m/>
    <m/>
    <m/>
    <m/>
    <m/>
    <m/>
    <m/>
    <m/>
    <n v="1"/>
    <m/>
    <m/>
  </r>
  <r>
    <n v="483"/>
    <s v="0527"/>
    <s v="GUENE"/>
    <d v="2022-08-19T00:00:00"/>
    <x v="8"/>
    <s v="GE0208"/>
    <s v="FR-500-GE-0160-2022"/>
    <s v="N/A"/>
    <s v="Suministro de Oxigeno y Acetileno"/>
    <n v="3293920"/>
    <m/>
    <s v="900-IP-527-2022"/>
    <s v="IP-"/>
    <n v="202202582"/>
    <n v="23526300"/>
    <s v="N/A"/>
    <s v="N/A"/>
    <s v="N/A"/>
    <x v="2"/>
    <s v="CARLOS RODRIGUEZ"/>
    <d v="2022-08-22T00:00:00"/>
    <e v="#VALUE!"/>
    <e v="#VALUE!"/>
    <s v="SI"/>
    <s v="Solicitud de Polizas y Rp"/>
    <x v="1"/>
    <m/>
    <s v="28 DE SEPTIEMBRE EN SOLCIITUD DE POLIZAS"/>
    <d v="2022-11-08T00:00:00"/>
    <x v="13"/>
    <s v="nov"/>
    <n v="81"/>
    <n v="78"/>
    <s v="G"/>
    <s v="FUNCIONAMIENTO"/>
    <s v="500-AO-2382-2022"/>
    <d v="2022-09-15T00:00:00"/>
    <n v="2814350"/>
    <s v="SUMINISTRO E INSUMOS INDUSTRIALES LTDA"/>
    <n v="202208497"/>
    <n v="479570"/>
    <m/>
    <m/>
    <m/>
    <m/>
    <m/>
    <m/>
    <m/>
    <m/>
    <n v="0.14559248554913296"/>
    <n v="1"/>
    <n v="1"/>
    <n v="30"/>
  </r>
  <r>
    <n v="484"/>
    <s v="0528"/>
    <s v="GUENAA"/>
    <d v="2022-08-19T00:00:00"/>
    <x v="8"/>
    <s v="GAA0177"/>
    <s v="FR-300-GAA-0224-2022"/>
    <s v="N/A"/>
    <s v="Obras prioritarias, protección y seguridad - linea aducción descarga Río Cali"/>
    <n v="499663409"/>
    <s v="70 DIAS"/>
    <s v="900-IP-0528-2022"/>
    <m/>
    <n v="202202781"/>
    <m/>
    <s v="N/A"/>
    <s v="N/A"/>
    <s v="N/A"/>
    <x v="2"/>
    <s v="HAROLD MONDRAGON"/>
    <d v="2022-08-23T00:00:00"/>
    <e v="#VALUE!"/>
    <e v="#VALUE!"/>
    <s v="SI"/>
    <s v="Entregado al area"/>
    <x v="1"/>
    <m/>
    <m/>
    <d v="2022-09-12T00:00:00"/>
    <x v="11"/>
    <m/>
    <n v="24"/>
    <n v="20"/>
    <s v="G"/>
    <s v="INVERSION"/>
    <s v="300-AO-2244-2022"/>
    <d v="2022-09-05T00:00:00"/>
    <n v="492417782"/>
    <s v="DDM INGENIERIA SAS"/>
    <n v="202208321"/>
    <n v="7245627"/>
    <m/>
    <m/>
    <m/>
    <m/>
    <m/>
    <s v="PALMIRA"/>
    <s v="MUNICIPAL"/>
    <m/>
    <n v="1.4501015822833647E-2"/>
    <n v="1"/>
    <n v="1"/>
    <n v="16"/>
  </r>
  <r>
    <n v="485"/>
    <s v="0529"/>
    <s v="GTI"/>
    <d v="2022-08-22T00:00:00"/>
    <x v="8"/>
    <s v="GTI0196"/>
    <s v="FR-200-GTI-0114-2022"/>
    <s v="N/A"/>
    <s v="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
    <n v="177488500"/>
    <m/>
    <m/>
    <s v=""/>
    <n v="202205631"/>
    <m/>
    <m/>
    <m/>
    <s v="N/A"/>
    <x v="3"/>
    <s v="CAMILO NUÑEZ"/>
    <m/>
    <e v="#VALUE!"/>
    <e v="#VALUE!"/>
    <s v="NO"/>
    <s v="Devuelto"/>
    <x v="2"/>
    <m/>
    <m/>
    <d v="2022-09-08T00:00:00"/>
    <x v="5"/>
    <s v="sep"/>
    <n v="17"/>
    <n v="44812"/>
    <m/>
    <s v="FUNCIONAMIENTO"/>
    <m/>
    <m/>
    <m/>
    <m/>
    <m/>
    <m/>
    <m/>
    <m/>
    <m/>
    <m/>
    <m/>
    <m/>
    <m/>
    <m/>
    <m/>
    <n v="0"/>
    <m/>
    <m/>
  </r>
  <r>
    <n v="486"/>
    <s v="0530"/>
    <s v="GAGHA"/>
    <d v="2022-08-23T00:00:00"/>
    <x v="8"/>
    <s v="GHA0013"/>
    <s v="FR-800-GHA-0194-2022"/>
    <s v="N/A"/>
    <s v="Elaborar y entregar recordatorios y botones fundidos y grabados con el logo de EMCALI EICE ESP"/>
    <n v="13301761"/>
    <s v="28 DE DICIEMBRE 2022"/>
    <s v="900-IP-0530-2022"/>
    <m/>
    <n v="202201822"/>
    <m/>
    <s v="N/A"/>
    <s v="N/A"/>
    <s v="N/A"/>
    <x v="2"/>
    <s v="AMPARO RENGIFO"/>
    <d v="2022-08-29T00:00:00"/>
    <e v="#VALUE!"/>
    <e v="#VALUE!"/>
    <s v="SI"/>
    <s v="Entregado al area"/>
    <x v="1"/>
    <m/>
    <m/>
    <d v="2022-09-27T00:00:00"/>
    <x v="11"/>
    <m/>
    <n v="35"/>
    <n v="29"/>
    <s v="G"/>
    <s v="FUNCIONAMIENTO"/>
    <s v="800-AO-2373-2022"/>
    <d v="2022-09-15T00:00:00"/>
    <n v="13301671"/>
    <s v="GRABOMETAL PREMIACIONES SAS"/>
    <n v="202208505"/>
    <n v="90"/>
    <m/>
    <m/>
    <m/>
    <m/>
    <m/>
    <s v="CALI"/>
    <s v="LOCAL"/>
    <m/>
    <n v="6.7660214312977054E-6"/>
    <n v="0"/>
    <n v="1"/>
    <n v="25"/>
  </r>
  <r>
    <n v="487"/>
    <s v="0531"/>
    <s v="GAGHA"/>
    <d v="2022-08-24T00:00:00"/>
    <x v="8"/>
    <s v="GHA0272"/>
    <s v="FR-800-GHA-0191-2022"/>
    <s v="N/A"/>
    <s v="Realizar el avalúo comercial de los lotes de terreno y obra civil de los siguientes inmuebles propiedad de EMCALI EICE ESP ENER 20 - ENER 22 - ENER 24 - ACUE 78"/>
    <n v="31535000"/>
    <s v="28 DE NOVIEMBRE 2022"/>
    <s v="900-IP-0531-2022"/>
    <m/>
    <n v="202205304"/>
    <n v="48136532"/>
    <s v="N/A"/>
    <s v="N/A"/>
    <s v="N/A"/>
    <x v="2"/>
    <s v="IVAN ALDANA"/>
    <d v="2022-08-24T00:00:00"/>
    <e v="#VALUE!"/>
    <e v="#VALUE!"/>
    <s v="SI"/>
    <s v="Entregado al area"/>
    <x v="1"/>
    <m/>
    <m/>
    <d v="2022-09-21T00:00:00"/>
    <x v="11"/>
    <m/>
    <n v="28"/>
    <n v="28"/>
    <s v="G"/>
    <s v="FUNCIONAMIENTO"/>
    <s v="800-AO-2324-2022"/>
    <d v="2022-09-14T00:00:00"/>
    <n v="27000000"/>
    <s v="ALEJANDRO REYES JIMENEZ"/>
    <n v="202208496"/>
    <n v="4535000"/>
    <m/>
    <m/>
    <m/>
    <m/>
    <m/>
    <s v="CALI"/>
    <s v="LOCAL"/>
    <m/>
    <n v="0.1438084667829396"/>
    <n v="0"/>
    <n v="1"/>
    <n v="20"/>
  </r>
  <r>
    <n v="488"/>
    <s v="0532"/>
    <s v="GAGHA"/>
    <d v="2022-08-24T00:00:00"/>
    <x v="8"/>
    <s v="GHA0282"/>
    <s v="FR-800-GHA-0195-2022"/>
    <s v="N/A"/>
    <s v="Programar e integrar el sistema de control de acceso Andover Continuum para ascensor privado torre EMCALI"/>
    <n v="7140000"/>
    <m/>
    <s v="900-IP-0532-2022"/>
    <s v="IP-"/>
    <n v="202205371"/>
    <n v="7140000"/>
    <s v="N/A"/>
    <s v="N/A"/>
    <s v="N/A"/>
    <x v="2"/>
    <s v="JULIO ERAZO"/>
    <d v="2022-08-29T00:00:00"/>
    <e v="#VALUE!"/>
    <e v="#VALUE!"/>
    <s v="SI"/>
    <s v="Esperando info del area"/>
    <x v="1"/>
    <m/>
    <s v="28 DE SEPTIEMBRE EN POLIZAS"/>
    <d v="2022-10-06T00:00:00"/>
    <x v="13"/>
    <s v="oct"/>
    <n v="43"/>
    <n v="38"/>
    <s v="G"/>
    <s v="FUNCIONAMIENTO"/>
    <s v="800-AO-2284-2022"/>
    <d v="2022-09-13T00:00:00"/>
    <n v="7140000"/>
    <s v="VISION TECNOLOGICA VITEC-SAS"/>
    <n v="202208413"/>
    <n v="0"/>
    <m/>
    <m/>
    <m/>
    <m/>
    <m/>
    <m/>
    <m/>
    <m/>
    <n v="0"/>
    <n v="0"/>
    <n v="1"/>
    <n v="27"/>
  </r>
  <r>
    <n v="489"/>
    <s v="0533"/>
    <s v="GUENAA"/>
    <d v="2022-08-24T00:00:00"/>
    <x v="8"/>
    <s v="GAA0299"/>
    <s v="FR-300-GAA-0226-2022"/>
    <s v="N/A"/>
    <s v="Realizar la refacción y restitución del espacio público en los sitios donde se llevaron a cabo las reparaciones de Daños de Acueducto en Acometidas o Red Matriz"/>
    <n v="3234000000"/>
    <m/>
    <s v="900-IPU-533-2022"/>
    <s v="IPU"/>
    <n v="202203637"/>
    <m/>
    <s v="108-202200013"/>
    <m/>
    <s v="N/A"/>
    <x v="0"/>
    <s v="HAROLD MONDRAGON"/>
    <d v="2022-08-29T00:00:00"/>
    <e v="#VALUE!"/>
    <e v="#VALUE!"/>
    <m/>
    <s v="Cerrado"/>
    <x v="0"/>
    <d v="2022-12-14T00:00:00"/>
    <s v="28 de septiembre en revision de la fpa e invitacion, YA QUEDARON REVISADAS_x000a_10-11-2022, en firma de gerente GAE para publicacion de CC_x000a_18-11-2022, para firma de gerente GAE para publicar "/>
    <d v="2022-12-14T00:00:00"/>
    <x v="5"/>
    <s v="dic"/>
    <n v="112"/>
    <n v="107"/>
    <m/>
    <s v="FUNCIONAMIENTO"/>
    <m/>
    <m/>
    <m/>
    <m/>
    <m/>
    <m/>
    <m/>
    <m/>
    <m/>
    <m/>
    <m/>
    <m/>
    <m/>
    <m/>
    <m/>
    <n v="1"/>
    <m/>
    <m/>
  </r>
  <r>
    <n v="490"/>
    <s v="0534"/>
    <s v="GUENAA"/>
    <d v="2022-08-25T00:00:00"/>
    <x v="8"/>
    <s v="GAA0791"/>
    <s v="FR-300-GAA-0228-2022"/>
    <s v="N/A"/>
    <s v="Participación en programas de Ensayos de Aptitud de los Laboratorios de Ensayos de la UENAA."/>
    <n v="20288310"/>
    <m/>
    <s v="900-IP-0534-2022"/>
    <s v="IP-"/>
    <s v="202205485_x000a_202205667"/>
    <m/>
    <s v="N/A"/>
    <s v="N/A"/>
    <s v="N/A"/>
    <x v="2"/>
    <s v="MARIA CAMILA OLIVEROS"/>
    <d v="2022-08-29T00:00:00"/>
    <e v="#VALUE!"/>
    <e v="#VALUE!"/>
    <s v="SI"/>
    <s v="Entregado al area"/>
    <x v="1"/>
    <d v="2022-12-16T00:00:00"/>
    <s v="28 DE SEPTIEMBRE EN ACEPTACION DE LA OFERTA"/>
    <d v="2022-09-23T00:00:00"/>
    <x v="14"/>
    <s v="sep"/>
    <n v="29"/>
    <n v="25"/>
    <s v="G"/>
    <s v="FUNCIONAMIENTO"/>
    <s v="300-AO-2392-2022"/>
    <d v="2022-09-23T00:00:00"/>
    <n v="20288310"/>
    <s v="AS ANALITICAL S.A.S"/>
    <s v="AB-2300002592"/>
    <n v="0"/>
    <m/>
    <m/>
    <m/>
    <m/>
    <m/>
    <m/>
    <m/>
    <m/>
    <n v="0"/>
    <n v="1"/>
    <n v="1"/>
    <n v="21"/>
  </r>
  <r>
    <n v="491"/>
    <s v="0535"/>
    <s v="GUENAA"/>
    <d v="2022-08-25T00:00:00"/>
    <x v="8"/>
    <s v="GAA0794"/>
    <s v="FR-300-GAA-0230-2022"/>
    <s v="N/A"/>
    <s v="Reparación de daño de alcantarillado en margen derecha del canal Sur con calle 42"/>
    <n v="499904220"/>
    <s v="2 MESES"/>
    <s v="900-IP-0535-2022"/>
    <m/>
    <n v="202205696"/>
    <m/>
    <s v="N/A"/>
    <s v="N/A"/>
    <s v="N/A"/>
    <x v="2"/>
    <s v="HAROLD MONDRAGON"/>
    <d v="2022-09-05T00:00:00"/>
    <e v="#VALUE!"/>
    <e v="#VALUE!"/>
    <s v="SI"/>
    <s v="Entregado al area"/>
    <x v="1"/>
    <m/>
    <m/>
    <d v="2022-09-15T00:00:00"/>
    <x v="11"/>
    <m/>
    <n v="21"/>
    <n v="10"/>
    <s v="G"/>
    <s v="INVERSION"/>
    <s v="300-AO-2274-2022"/>
    <d v="2022-09-09T00:00:00"/>
    <n v="498989963"/>
    <s v="ENRIQUE LOURIDO CAICEDO EN REORGANIZACION"/>
    <n v="202208374"/>
    <n v="914257"/>
    <m/>
    <m/>
    <m/>
    <m/>
    <m/>
    <s v="CALI"/>
    <s v="LOCAL"/>
    <m/>
    <n v="1.828864337252444E-3"/>
    <n v="1"/>
    <n v="1"/>
    <n v="15"/>
  </r>
  <r>
    <n v="492"/>
    <s v="0536"/>
    <s v="GUENAA"/>
    <d v="2022-08-29T00:00:00"/>
    <x v="8"/>
    <s v="GAA0103"/>
    <s v="FR-300-GAA-0229-2022"/>
    <s v="N/A"/>
    <s v="Mantenimiento preventivo y correctivo para fotocopiadora de planos para la Unidad de Ingenieria (Incluye suministros y repuestos)."/>
    <n v="5000000"/>
    <m/>
    <s v="900-IP-0536-2022"/>
    <s v="IP-"/>
    <n v="202205598"/>
    <n v="5000000"/>
    <s v="N/A"/>
    <s v="N/A"/>
    <s v="N/A"/>
    <x v="2"/>
    <s v="JULIO ERAZO"/>
    <d v="2022-08-29T00:00:00"/>
    <e v="#VALUE!"/>
    <e v="#VALUE!"/>
    <s v="NO"/>
    <s v="Devuelto"/>
    <x v="2"/>
    <d v="2022-11-10T00:00:00"/>
    <s v="28 DE SEPTIEMBRE EN ELABORACION Y FPA_x000a_10-11-2022, se devuelve al area con memorando 901-0302-2022 de noviembre 3"/>
    <d v="2022-11-03T00:00:00"/>
    <x v="5"/>
    <s v="nov"/>
    <n v="66"/>
    <n v="66"/>
    <m/>
    <s v="FUNCIONAMIENTO"/>
    <m/>
    <m/>
    <m/>
    <m/>
    <m/>
    <m/>
    <m/>
    <m/>
    <m/>
    <m/>
    <m/>
    <m/>
    <m/>
    <m/>
    <m/>
    <n v="1"/>
    <m/>
    <m/>
  </r>
  <r>
    <n v="493"/>
    <s v="0537"/>
    <s v="GUENE"/>
    <d v="2022-08-30T00:00:00"/>
    <x v="8"/>
    <s v="GE0346"/>
    <s v="FR-500-GE-0259-2022"/>
    <s v="N/A"/>
    <s v="Suministro, montaje y puesta en funcionamiento de un Sistema Solar Fotovoltaico de generación con potencia instalada en DC de 600 kWp, en el cliente RED SALUD ORIENTE"/>
    <n v="3349741858"/>
    <m/>
    <s v="900-IPU-0537-2022"/>
    <s v="IPU"/>
    <n v="202205612"/>
    <n v="3349741858"/>
    <s v="N/A"/>
    <s v="N/A"/>
    <s v="N/A"/>
    <x v="0"/>
    <s v="LAURA ANGEL"/>
    <d v="2022-08-30T00:00:00"/>
    <e v="#VALUE!"/>
    <e v="#VALUE!"/>
    <s v="N/A"/>
    <s v="Devuelto"/>
    <x v="2"/>
    <d v="2022-11-10T00:00:00"/>
    <m/>
    <d v="2022-11-10T00:00:00"/>
    <x v="5"/>
    <s v="nov"/>
    <n v="72"/>
    <n v="72"/>
    <m/>
    <s v="INVERSION"/>
    <m/>
    <m/>
    <m/>
    <m/>
    <m/>
    <m/>
    <m/>
    <m/>
    <m/>
    <m/>
    <m/>
    <m/>
    <m/>
    <m/>
    <m/>
    <n v="1"/>
    <m/>
    <m/>
  </r>
  <r>
    <n v="494"/>
    <s v="0538"/>
    <s v="GC"/>
    <d v="2022-08-31T00:00:00"/>
    <x v="8"/>
    <s v="GC0526"/>
    <s v="FR-600-GC-0559-2022"/>
    <s v="N/A"/>
    <s v="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
    <n v="1402851900"/>
    <m/>
    <s v="900-IP-0538-2022"/>
    <s v="IP-"/>
    <n v="202203494"/>
    <n v="1402851900"/>
    <s v="N/A"/>
    <s v="N/A"/>
    <s v="N/A"/>
    <x v="2"/>
    <s v="ESTEFANIA SANCHEZ"/>
    <d v="2022-08-31T00:00:00"/>
    <e v="#VALUE!"/>
    <e v="#VALUE!"/>
    <s v="SI"/>
    <s v="Entregado al area"/>
    <x v="1"/>
    <d v="2022-11-24T00:00:00"/>
    <m/>
    <d v="2022-09-15T00:00:00"/>
    <x v="13"/>
    <s v="sep"/>
    <n v="15"/>
    <n v="15"/>
    <s v="L"/>
    <s v="FUNCIONAMIENTO"/>
    <s v="600-AO-2327-2022"/>
    <d v="2022-09-15T00:00:00"/>
    <n v="1402851900"/>
    <s v="CARVAJAL TECNOLOGIA  Y SERVICIO SAS"/>
    <n v="202208414"/>
    <n v="0"/>
    <m/>
    <m/>
    <m/>
    <m/>
    <m/>
    <m/>
    <m/>
    <m/>
    <n v="0"/>
    <n v="0"/>
    <n v="1"/>
    <n v="11"/>
  </r>
  <r>
    <n v="495"/>
    <s v="0539"/>
    <s v="GUENTIC"/>
    <d v="2022-08-31T00:00:00"/>
    <x v="8"/>
    <s v="GT0146"/>
    <s v="FR-400-GT-0199-2022"/>
    <s v="N/A"/>
    <s v="Adquisición de baterías (fuentes de poder) y modulos de alimentación electrica para la Matriz L que hace parte de la plataforma de IPTV (repuestos)"/>
    <n v="84338656"/>
    <m/>
    <s v="900-IP-0539-2022"/>
    <s v="IP-"/>
    <n v="202202998"/>
    <n v="84338656"/>
    <s v="N/A"/>
    <s v="N/A"/>
    <s v="N/A"/>
    <x v="2"/>
    <s v="JULIO ERAZO"/>
    <d v="2022-09-02T00:00:00"/>
    <e v="#VALUE!"/>
    <e v="#VALUE!"/>
    <s v="NO"/>
    <s v="Devuelto"/>
    <x v="2"/>
    <m/>
    <m/>
    <d v="2022-09-15T00:00:00"/>
    <x v="5"/>
    <s v="sep"/>
    <n v="15"/>
    <n v="13"/>
    <m/>
    <s v="OPERACIÓN"/>
    <m/>
    <m/>
    <m/>
    <m/>
    <m/>
    <m/>
    <m/>
    <m/>
    <m/>
    <m/>
    <m/>
    <m/>
    <m/>
    <m/>
    <m/>
    <n v="0"/>
    <m/>
    <m/>
  </r>
  <r>
    <n v="496"/>
    <s v="0540"/>
    <s v="GUENTIC"/>
    <d v="2022-08-31T00:00:00"/>
    <x v="8"/>
    <s v="GT0173"/>
    <s v="FR-400-GT-0205-2022"/>
    <s v="N/A"/>
    <s v="Soporte y Mantenimiento de alimentación DC (Potencia) de las UPS´s de San Fernando y Limonar de la UENTIC de EMCALI EICE ESP"/>
    <n v="99999903"/>
    <m/>
    <s v="900-IP-0540-2022"/>
    <s v="IP-"/>
    <n v="202205712"/>
    <n v="99999903"/>
    <s v="N/A"/>
    <s v="N/A"/>
    <s v="N/A"/>
    <x v="2"/>
    <s v="JULIO ERAZO"/>
    <d v="2022-09-02T00:00:00"/>
    <e v="#VALUE!"/>
    <e v="#VALUE!"/>
    <s v="NO"/>
    <s v="Cotizaciones"/>
    <x v="2"/>
    <m/>
    <m/>
    <d v="2022-09-10T00:00:00"/>
    <x v="5"/>
    <s v="sep"/>
    <n v="10"/>
    <n v="8"/>
    <m/>
    <s v="FUNCIONAMIENTO"/>
    <m/>
    <m/>
    <m/>
    <m/>
    <m/>
    <m/>
    <m/>
    <m/>
    <m/>
    <m/>
    <m/>
    <m/>
    <m/>
    <m/>
    <m/>
    <n v="0"/>
    <m/>
    <m/>
  </r>
  <r>
    <n v="497"/>
    <s v="0541"/>
    <s v="GUENAA"/>
    <d v="2022-08-31T00:00:00"/>
    <x v="8"/>
    <s v="GAA0104"/>
    <s v="FR-300-GAA-0231-2022"/>
    <s v="N/A"/>
    <s v="Mantenimiento correctivo y preventivo para Plotter de la Unidad de Ingenieria (Incluye Suministros y Repuestos)"/>
    <n v="10000000"/>
    <s v="45 DIAS"/>
    <s v="900-IP-0541-2022"/>
    <m/>
    <n v="202204376"/>
    <n v="10000000"/>
    <s v="N/A"/>
    <s v="N/A"/>
    <s v="N/A"/>
    <x v="2"/>
    <s v="NINFA SANTANA"/>
    <d v="2022-09-02T00:00:00"/>
    <e v="#VALUE!"/>
    <e v="#VALUE!"/>
    <s v="SI"/>
    <s v="Entregado al area"/>
    <x v="1"/>
    <m/>
    <m/>
    <d v="2022-09-22T00:00:00"/>
    <x v="11"/>
    <m/>
    <n v="22"/>
    <n v="20"/>
    <s v="G"/>
    <s v="FUNCIONAMIENTO"/>
    <s v="300-AO-2373-2022"/>
    <d v="2022-09-15T00:00:00"/>
    <n v="10000000"/>
    <s v="JAIME ANTONIO BASTIDAS OSORIO"/>
    <n v="202208494"/>
    <n v="0"/>
    <m/>
    <m/>
    <m/>
    <m/>
    <m/>
    <s v="CALI"/>
    <s v="LOCAL"/>
    <m/>
    <n v="0"/>
    <n v="1"/>
    <n v="1"/>
    <n v="16"/>
  </r>
  <r>
    <n v="498"/>
    <s v="0542"/>
    <s v="GUENAA"/>
    <d v="2022-08-31T00:00:00"/>
    <x v="8"/>
    <s v="GAA0788"/>
    <s v="FR-300-GAA-0232-2022"/>
    <s v="N/A"/>
    <s v="Suministrar un dosificador Manual Titrator Plus marca Metrohm para el Laboratorio de Aguas Residuales"/>
    <n v="29563947"/>
    <m/>
    <s v="900-IP-0542-2022"/>
    <s v="IP-"/>
    <n v="202205377"/>
    <m/>
    <m/>
    <m/>
    <s v="N/A"/>
    <x v="2"/>
    <s v="MARIA CAMILA OLIVEROS"/>
    <d v="2022-09-02T00:00:00"/>
    <e v="#VALUE!"/>
    <e v="#VALUE!"/>
    <m/>
    <s v="Cerrado"/>
    <x v="0"/>
    <d v="2022-12-30T00:00:00"/>
    <s v="28 DE SEPTIEMBRE EN REVISION DE FPA E INVITACION_x000a_12-11-2022 en espera de firma de FPA E INVITACION"/>
    <d v="2022-12-29T00:00:00"/>
    <x v="5"/>
    <s v="dic"/>
    <n v="120"/>
    <n v="118"/>
    <m/>
    <s v="INVERSION"/>
    <m/>
    <m/>
    <m/>
    <m/>
    <m/>
    <m/>
    <m/>
    <m/>
    <m/>
    <m/>
    <m/>
    <m/>
    <m/>
    <m/>
    <m/>
    <n v="1"/>
    <m/>
    <m/>
  </r>
  <r>
    <n v="499"/>
    <s v="0543"/>
    <s v="GUENAA"/>
    <d v="2022-08-31T00:00:00"/>
    <x v="8"/>
    <s v="GAA0790"/>
    <s v="FR-300-GAA-0233-2022"/>
    <s v="N/A"/>
    <s v="Suministrar gases y realizar mantenimiento a las lineas de gases de los Laboratorios de Ensayos de la UENAA"/>
    <n v="79805785"/>
    <m/>
    <s v="900-IP-0543-2022"/>
    <s v="IP-"/>
    <s v="202205540_x000a_202205541_x000a_202205542_x000a_202205666"/>
    <m/>
    <m/>
    <m/>
    <s v="N/A"/>
    <x v="2"/>
    <s v="MARIA CAMILA OLIVEROS"/>
    <d v="2022-09-02T00:00:00"/>
    <e v="#VALUE!"/>
    <e v="#VALUE!"/>
    <m/>
    <s v="Cerrado"/>
    <x v="0"/>
    <d v="2022-12-30T00:00:00"/>
    <s v="28 DE SEPTIEMBRE ESPERANDO REGISTRO DE PROVEEDORES _x000a_12-11-2022 En la cotización se envía para ajuste, se sale del presupuesto"/>
    <d v="2022-12-29T00:00:00"/>
    <x v="5"/>
    <s v="dic"/>
    <n v="120"/>
    <n v="118"/>
    <m/>
    <s v="FUNCIONAMIENTO"/>
    <m/>
    <m/>
    <m/>
    <m/>
    <m/>
    <m/>
    <m/>
    <m/>
    <m/>
    <m/>
    <m/>
    <m/>
    <m/>
    <m/>
    <m/>
    <n v="1"/>
    <m/>
    <m/>
  </r>
  <r>
    <n v="500"/>
    <s v="0544"/>
    <s v="GAGHA"/>
    <d v="2022-08-31T00:00:00"/>
    <x v="8"/>
    <s v="GHA0224_x000a_GHA0225_x000a_GHA0277_x000a_GHA0278"/>
    <s v="FR-800-GHA-0142-2022_x000a_FR-800-GHA-0139-2022"/>
    <s v="N/A"/>
    <s v="Realizar la compra de un (1) vehículo SUV 4X4 de 5 puertas; incluyendo el servicio de Diez (10) mantenimientos preventivos para el vehículo, con las adecuaciones requeridas por EMCALI EICE ESP_x000a__x000a_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453320213"/>
    <s v="28 DE NOVIEMBRE 2022"/>
    <s v="900-IP-0544-2022"/>
    <m/>
    <s v="202202682_x000a_202202679_x000a_202202571_x000a_202202573_x000a_202202574_x000a_202202575"/>
    <n v="679730053"/>
    <s v="N/A"/>
    <s v="N/A"/>
    <s v="N/A"/>
    <x v="2"/>
    <s v="LAURA PIMIENTA"/>
    <d v="2022-08-31T00:00:00"/>
    <n v="69"/>
    <n v="69"/>
    <s v="SI"/>
    <s v="Entregado al area"/>
    <x v="1"/>
    <s v="28 DE SEPTIMEBRE EN ESPERA DE LAS POLIZAS POR PARTE DEL PROVEEDOR"/>
    <m/>
    <d v="2022-10-19T00:00:00"/>
    <x v="12"/>
    <n v="49"/>
    <m/>
    <n v="49"/>
    <s v="L"/>
    <s v="FUNCIONAMIENTO"/>
    <s v="800-AO-2378-2022"/>
    <d v="2022-09-15T00:00:00"/>
    <n v="453320213"/>
    <s v="AUTOMOTORES FARALLONES SAS"/>
    <n v="202208542"/>
    <n v="0"/>
    <s v="CALI"/>
    <s v="LOCAL"/>
    <m/>
    <m/>
    <m/>
    <m/>
    <m/>
    <m/>
    <n v="0"/>
    <n v="0"/>
    <n v="1"/>
    <n v="35"/>
  </r>
  <r>
    <n v="501"/>
    <s v="0545"/>
    <s v="GUENTIC"/>
    <d v="2022-09-01T00:00:00"/>
    <x v="9"/>
    <s v="GT0249"/>
    <s v="FR-400-GT-0178-2022"/>
    <s v="N/A"/>
    <s v="Soporte técnico requerido para la operación, administración y manejo de la plataforma, incluyendo transferencia de conocimiento hacia el personal encargado de Zabbix en EMCALI EICE ESP"/>
    <n v="129108545"/>
    <m/>
    <s v="900-IP-0545-2022"/>
    <s v="IP-"/>
    <n v="202205066"/>
    <m/>
    <s v="N/A"/>
    <s v="N/A"/>
    <s v="N/A"/>
    <x v="2"/>
    <s v="JULIETA ORTIZ"/>
    <d v="2022-09-01T00:00:00"/>
    <e v="#VALUE!"/>
    <e v="#VALUE!"/>
    <m/>
    <s v="Entregado al area"/>
    <x v="1"/>
    <d v="2022-11-29T00:00:00"/>
    <s v="28 de septiembre en evaluacion de la oferta_x000a_12-11-2022, El IP-0463 se Cerro y el 900-IP-0545-2022 esta en Evaluacion de la Propuesta recibida. Se elbaoro AO. "/>
    <d v="2022-12-02T00:00:00"/>
    <x v="14"/>
    <s v="dic"/>
    <n v="92"/>
    <n v="92"/>
    <s v="G"/>
    <s v="FUNCIONAMIENTO"/>
    <s v="400-AO-2427-2022"/>
    <d v="2022-11-25T00:00:00"/>
    <n v="129108544"/>
    <s v="IMAGUNET SAS"/>
    <s v="AB2300002935"/>
    <n v="1"/>
    <m/>
    <m/>
    <m/>
    <m/>
    <m/>
    <m/>
    <m/>
    <m/>
    <n v="7.7454207233146341E-9"/>
    <n v="0"/>
    <n v="1"/>
    <n v="39"/>
  </r>
  <r>
    <n v="502"/>
    <s v="0546"/>
    <s v="GUENT"/>
    <d v="2022-09-01T00:00:00"/>
    <x v="9"/>
    <s v="GT0209"/>
    <s v="FR-400-GT-0172-2022"/>
    <s v="N/A"/>
    <s v="Mano de obra y materiales para el mantenimiento correctivo y preventivo de Tapas Circulares en Concreto con Sistema de Seguridad Mecánico, con el fin de proteger la red de acceso de EMCALI EICE ESP, según las especificaciones técnicas."/>
    <n v="33566000"/>
    <s v="31 DE DICIEBRE 2022"/>
    <s v="900-IP-0546-2022"/>
    <m/>
    <n v="202204412"/>
    <n v="33566000"/>
    <s v="N/A"/>
    <s v="N/A"/>
    <s v="N/A"/>
    <x v="2"/>
    <s v="JHON LARRY "/>
    <d v="2022-09-05T00:00:00"/>
    <e v="#VALUE!"/>
    <e v="#VALUE!"/>
    <s v="SI"/>
    <s v="Entregado al area"/>
    <x v="1"/>
    <m/>
    <m/>
    <d v="2022-09-29T00:00:00"/>
    <x v="11"/>
    <m/>
    <n v="28"/>
    <n v="24"/>
    <s v="G"/>
    <s v="FUNCIONAMIENTO"/>
    <s v="400-AO-2347-2022"/>
    <d v="2022-09-15T00:00:00"/>
    <n v="33565711"/>
    <s v="CARLOS HERNEY ARCINIEGAS"/>
    <n v="202208533"/>
    <n v="289"/>
    <m/>
    <m/>
    <m/>
    <m/>
    <m/>
    <s v="CALI"/>
    <s v="LOCAL"/>
    <m/>
    <n v="8.6099028779121728E-6"/>
    <n v="1"/>
    <n v="1"/>
    <n v="20"/>
  </r>
  <r>
    <n v="503"/>
    <s v="0547"/>
    <s v="GUENAA"/>
    <d v="2022-09-01T00:00:00"/>
    <x v="9"/>
    <s v="PRECALIF"/>
    <s v="FR-300-GAA-0227-2022"/>
    <s v="N/A"/>
    <s v="Realizar la contratación de la consultoría sobre la formulación del Plan Maestro de Acueducto y Alcantarillado del Área de Prestación de Servicios de EMCALI EICE ESP"/>
    <n v="36219452607"/>
    <m/>
    <s v="900-IPU-547-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m/>
    <s v="INVERSION"/>
    <m/>
    <m/>
    <m/>
    <m/>
    <m/>
    <m/>
    <m/>
    <m/>
    <m/>
    <m/>
    <m/>
    <m/>
    <m/>
    <m/>
    <m/>
    <n v="1"/>
    <m/>
    <m/>
  </r>
  <r>
    <n v="504"/>
    <s v="0548"/>
    <s v="GUENAA"/>
    <d v="2022-09-01T00:00:00"/>
    <x v="9"/>
    <s v="PRECALIF"/>
    <s v="FR-300-GAA-0240-2022"/>
    <s v="N/A"/>
    <s v="Realizar la contratación de la Interventoría a la Consultoría sobre la formulación del Plan Maestro de Acueducto y Alcantarillado del Área de Prestación de Servicios de EMCALI EICE ESP"/>
    <n v="5079331605"/>
    <m/>
    <s v="900-IPU-548-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m/>
    <s v="INVERSION"/>
    <m/>
    <m/>
    <m/>
    <m/>
    <m/>
    <m/>
    <m/>
    <m/>
    <m/>
    <m/>
    <m/>
    <m/>
    <m/>
    <m/>
    <m/>
    <n v="1"/>
    <m/>
    <m/>
  </r>
  <r>
    <n v="505"/>
    <s v="0549"/>
    <s v="GUENAA"/>
    <d v="2022-09-01T00:00:00"/>
    <x v="9"/>
    <s v="GAA0061"/>
    <s v="FR-300-GAA-0235-2022"/>
    <s v="N/A"/>
    <s v="Suministro de materiales para realizar calibraciones en el laboratorio de medidores acueducto"/>
    <n v="20584933"/>
    <m/>
    <s v="900-IP-0549-2022"/>
    <s v="IP-"/>
    <n v="202202266"/>
    <m/>
    <s v="N/A"/>
    <s v="N/A"/>
    <s v="N/A"/>
    <x v="2"/>
    <s v="NINFA SANTANA"/>
    <d v="2022-09-05T00:00:00"/>
    <e v="#VALUE!"/>
    <e v="#VALUE!"/>
    <s v="NO"/>
    <s v="Devuelto"/>
    <x v="2"/>
    <m/>
    <m/>
    <d v="2022-09-15T00:00:00"/>
    <x v="5"/>
    <s v="sep"/>
    <n v="14"/>
    <n v="10"/>
    <s v="G"/>
    <s v="FUNCIONAMIENTO"/>
    <m/>
    <m/>
    <m/>
    <m/>
    <m/>
    <m/>
    <m/>
    <m/>
    <m/>
    <m/>
    <m/>
    <m/>
    <m/>
    <m/>
    <m/>
    <n v="1"/>
    <m/>
    <m/>
  </r>
  <r>
    <n v="506"/>
    <s v="0550"/>
    <s v="GUENAA"/>
    <d v="2022-09-01T00:00:00"/>
    <x v="9"/>
    <s v="GAA0792"/>
    <s v="FR-300-GAA-0236-2022"/>
    <s v="N/A"/>
    <s v="Suministro de materiales (elementos, repuestos y cristaleria) y equipos para realizar ensayos en los Laboratorios de Ensayos de la UENAA"/>
    <n v="442326099"/>
    <m/>
    <s v="900-IP-0550-2022"/>
    <s v="IP-"/>
    <s v="202202246_x000a_202202248_x000a_202205378"/>
    <n v="442326099"/>
    <s v="N/A"/>
    <s v="N/A"/>
    <s v="N/A"/>
    <x v="2"/>
    <s v="LINA ECHAVARRIA"/>
    <d v="2022-09-05T00:00:00"/>
    <e v="#VALUE!"/>
    <e v="#VALUE!"/>
    <m/>
    <s v="Cerrado"/>
    <x v="0"/>
    <d v="2022-12-09T00:00:00"/>
    <s v="28 DE SEPTIEMBRE EN FPA E INVITACION_x000a_30-11-2022, SE PASO PARA REVISION DE SARHA EN GAE"/>
    <d v="2022-12-26T00:00:00"/>
    <x v="5"/>
    <s v="dic"/>
    <n v="116"/>
    <n v="112"/>
    <m/>
    <s v="FUNCIONAMIENTO"/>
    <m/>
    <m/>
    <m/>
    <m/>
    <m/>
    <m/>
    <m/>
    <m/>
    <m/>
    <m/>
    <m/>
    <m/>
    <m/>
    <m/>
    <m/>
    <n v="1"/>
    <m/>
    <m/>
  </r>
  <r>
    <n v="507"/>
    <s v="0551"/>
    <s v="GUENAA"/>
    <d v="2022-09-01T00:00:00"/>
    <x v="9"/>
    <s v="GAA0787_x000a_GAA0693"/>
    <s v="FR-300-GAA-0237-2022"/>
    <s v="N/A"/>
    <s v="Suministro de equipos marca HACH para los Laboratorios de Ensayos de la UENAA"/>
    <n v="195000000"/>
    <m/>
    <s v="900-IP-551-2022"/>
    <s v="IP-"/>
    <s v="202205375_x000a_202205376_x000a_202202252"/>
    <m/>
    <m/>
    <m/>
    <s v="N/A"/>
    <x v="2"/>
    <s v="IVAN ALDANA"/>
    <d v="2022-09-05T00:00:00"/>
    <e v="#VALUE!"/>
    <e v="#VALUE!"/>
    <m/>
    <s v="Entregado al area"/>
    <x v="1"/>
    <d v="2022-12-19T00:00:00"/>
    <s v="28 DE SEPTIEMBRE EN ELABORACIONDE FPA E INVITACION_x000a_24-11-2022, LO TIENE LA ASESORA SAHARA DE GAE QUIEN HACE AJUSTES Y DEVUELVE AL ASESOR EL 15 Y SE LE VOLVIO A PASAR EL 18 DE NOVIEMBRE A LA ASESORA "/>
    <d v="2022-12-19T00:00:00"/>
    <x v="14"/>
    <s v="dic"/>
    <n v="109"/>
    <n v="105"/>
    <s v="G"/>
    <s v="INVERSION"/>
    <s v="300-AO-2456-2022"/>
    <d v="2022-12-07T00:00:00"/>
    <n v="188980319"/>
    <s v="HACH COLOMBIA SAS"/>
    <s v="AB-2300002978"/>
    <n v="6019681"/>
    <m/>
    <m/>
    <m/>
    <m/>
    <m/>
    <m/>
    <m/>
    <m/>
    <n v="3.0870158974358974E-2"/>
    <n v="1"/>
    <n v="1"/>
    <n v="50"/>
  </r>
  <r>
    <n v="508"/>
    <s v="0552"/>
    <s v="GUENAA"/>
    <d v="2022-09-01T00:00:00"/>
    <x v="9"/>
    <s v="GAA0789_x000a_GAA0065_x000a_GAA0066"/>
    <s v="FR-300-GAA-0238-2022"/>
    <s v="N/A"/>
    <s v="Suministro de reactivos y equipos para realizar ensayos en los Laboratorios de la UENAA"/>
    <n v="173375027"/>
    <m/>
    <s v="900-IP-0552-2022"/>
    <s v="IP-"/>
    <s v="202205543_x000a_202205544_x000a_202202250_x000a_202202255"/>
    <m/>
    <s v="N/A"/>
    <s v="N/A"/>
    <s v="N/A"/>
    <x v="2"/>
    <s v="LUCY ARBELAEZ"/>
    <d v="2022-09-05T00:00:00"/>
    <e v="#VALUE!"/>
    <e v="#VALUE!"/>
    <m/>
    <s v="Entregado al area"/>
    <x v="1"/>
    <d v="2022-11-30T00:00:00"/>
    <s v="28 DE SEPTIEMBRE EN ELABORACIONDE FPA E INVITACION"/>
    <d v="2022-11-30T00:00:00"/>
    <x v="14"/>
    <s v="nov"/>
    <n v="90"/>
    <n v="86"/>
    <s v="G"/>
    <s v="FUNCIONAMIENTO"/>
    <s v="300-AO-2434-2022"/>
    <d v="2022-11-30T00:00:00"/>
    <n v="168762268"/>
    <s v="CONTROL E INSTRUMENTACION INDUSTRIAL DE COLOMBIA SAS"/>
    <m/>
    <n v="4612759"/>
    <m/>
    <m/>
    <m/>
    <m/>
    <m/>
    <m/>
    <m/>
    <m/>
    <n v="2.6605671415410939E-2"/>
    <n v="1"/>
    <n v="1"/>
    <n v="37"/>
  </r>
  <r>
    <n v="509"/>
    <s v="0553"/>
    <s v="GUENAA"/>
    <d v="2022-09-01T00:00:00"/>
    <x v="9"/>
    <s v="GAA0062_x000a_GAA0063"/>
    <s v="FR-300-GAA-0239-2022"/>
    <s v="N/A"/>
    <s v="Suministro de reactivos, medios de cultivo y materiales de referencia para realizar ensayos en los Laboratorios de Ensayos de la UENAA"/>
    <n v="238618909"/>
    <m/>
    <s v="900-IP-0553-2022"/>
    <s v="IP-"/>
    <s v="202205450_x000a_202202975_x000a_202203884_x000a_202205449"/>
    <m/>
    <s v="N/A"/>
    <s v="N/A"/>
    <s v="N/A"/>
    <x v="2"/>
    <s v="LUCY ARBELAEZ"/>
    <d v="2022-09-05T00:00:00"/>
    <e v="#VALUE!"/>
    <e v="#VALUE!"/>
    <m/>
    <s v="Entregado al area"/>
    <x v="1"/>
    <d v="2022-11-30T00:00:00"/>
    <s v="28 DE SEPTIEMBRE EN ELABORACIONDE FPA E INVITACION"/>
    <d v="2022-12-15T00:00:00"/>
    <x v="14"/>
    <s v="dic"/>
    <n v="105"/>
    <n v="101"/>
    <s v="G"/>
    <s v="FUNCIONAMIENTO"/>
    <s v="300-AO-2453-2022"/>
    <d v="2022-12-07T00:00:00"/>
    <n v="237158472"/>
    <s v="PROFINAS SAS"/>
    <m/>
    <n v="1460437"/>
    <m/>
    <m/>
    <m/>
    <m/>
    <m/>
    <m/>
    <m/>
    <m/>
    <n v="6.1203741401734428E-3"/>
    <n v="1"/>
    <n v="1"/>
    <n v="48"/>
  </r>
  <r>
    <n v="510"/>
    <s v="0554"/>
    <s v="GUENAA"/>
    <d v="2022-09-02T00:00:00"/>
    <x v="9"/>
    <s v="GAA0796"/>
    <s v="FR-300-GAA-0234-2022"/>
    <s v="N/A"/>
    <s v="Suministro de Alcalinizante para las Plantas de Tratamiento de Agua Potable de la Unidad de Producción de Agua Potable: Cal Viva"/>
    <n v="412536670"/>
    <s v="90 DIAS"/>
    <s v="900-IP-0554-2022"/>
    <m/>
    <s v="202202688_x000a_202203114"/>
    <n v="412536670"/>
    <s v="N/A"/>
    <s v="N/A"/>
    <s v="N/A"/>
    <x v="2"/>
    <s v="AYDEE OVALLE"/>
    <d v="2022-09-02T00:00:00"/>
    <e v="#VALUE!"/>
    <e v="#VALUE!"/>
    <s v="SI"/>
    <s v="Entregado al area"/>
    <x v="1"/>
    <m/>
    <m/>
    <d v="2022-09-14T00:00:00"/>
    <x v="11"/>
    <m/>
    <n v="12"/>
    <n v="12"/>
    <s v="G"/>
    <s v="OPERACIÓN"/>
    <s v="300-AO-2272-2022"/>
    <d v="2022-09-09T00:00:00"/>
    <n v="412536670"/>
    <s v="CALABASTOS SAS"/>
    <n v="202208360"/>
    <n v="0"/>
    <m/>
    <m/>
    <m/>
    <m/>
    <m/>
    <s v="VIJES"/>
    <s v="MUNICIPAL"/>
    <m/>
    <n v="0"/>
    <n v="1"/>
    <n v="1"/>
    <n v="8"/>
  </r>
  <r>
    <n v="511"/>
    <s v="0555"/>
    <s v="GUENE"/>
    <d v="2022-09-02T00:00:00"/>
    <x v="9"/>
    <s v="GE0364"/>
    <s v="FR-500-GE-0256-2022"/>
    <s v="N/A"/>
    <s v="Servicio de integración de los datos entre el sistema de control de la subestación Alferez y el Centro de Control de Energía"/>
    <n v="20000000"/>
    <m/>
    <s v="900-IP-0555-2022"/>
    <s v="IP-"/>
    <n v="202205452"/>
    <m/>
    <s v="N/A"/>
    <s v="N/A"/>
    <s v="N/A"/>
    <x v="2"/>
    <s v="LUCY ARBELAEZ"/>
    <d v="2022-09-05T00:00:00"/>
    <e v="#VALUE!"/>
    <e v="#VALUE!"/>
    <s v="NO"/>
    <s v="Devuelto"/>
    <x v="2"/>
    <d v="2022-11-15T00:00:00"/>
    <s v="SE DEVUELVE AL AREA DEBIDO EL UNICO PROVEEDOR QUE OFERTO NO CUENTA CON PERSONAL IDONEO HASTA ENERO 2023, MEMORANDO 900-0458-2022 DEL 15 DE NOVIEMBRE"/>
    <d v="2022-11-15T00:00:00"/>
    <x v="5"/>
    <s v="nov"/>
    <n v="74"/>
    <n v="71"/>
    <m/>
    <s v="FUNCIONAMIENTO"/>
    <m/>
    <m/>
    <m/>
    <m/>
    <m/>
    <m/>
    <m/>
    <m/>
    <m/>
    <m/>
    <m/>
    <m/>
    <m/>
    <m/>
    <m/>
    <n v="1"/>
    <m/>
    <m/>
  </r>
  <r>
    <n v="512"/>
    <s v="0556"/>
    <s v="GC"/>
    <d v="2022-09-05T00:00:00"/>
    <x v="9"/>
    <s v="GC0515"/>
    <s v="FR-600-GC-0558-2022"/>
    <s v="N/A"/>
    <s v="Compra televisores, soporte para televisores y hornos mocroondas para los Centros de Atención y el Contact Center de EMCALI EICE ESP"/>
    <n v="43500000"/>
    <m/>
    <s v="900-IP-0556-2022"/>
    <s v="IP-"/>
    <n v="202201388"/>
    <m/>
    <s v="N/A"/>
    <s v="N/A"/>
    <s v="N/A"/>
    <x v="2"/>
    <s v="CAMILO NUÑEZ"/>
    <d v="2022-09-05T00:00:00"/>
    <e v="#VALUE!"/>
    <e v="#VALUE!"/>
    <s v="NO"/>
    <s v="Devuelto"/>
    <x v="2"/>
    <d v="2022-11-24T00:00:00"/>
    <s v="28 DE SEPTIEMBRE EN ELABORACIONDE FPA E INVITACION_x000a_24-11-2022, DEVUELTO AL AREA EL DIA 17/11/2022, DEBIDO A QUE SE DEBE COMPRAR POR GRANDES SUPERFICIES (LITERAL E ARTICULO 3 RESOLUCION J.D No 004 DE OCTUBRE 2020_x000a_"/>
    <d v="2022-11-17T00:00:00"/>
    <x v="5"/>
    <s v="nov"/>
    <n v="73"/>
    <n v="73"/>
    <s v="G"/>
    <s v="FUNCIONAMIENTO"/>
    <m/>
    <m/>
    <m/>
    <m/>
    <m/>
    <m/>
    <m/>
    <m/>
    <m/>
    <m/>
    <m/>
    <m/>
    <m/>
    <m/>
    <m/>
    <n v="0"/>
    <m/>
    <m/>
  </r>
  <r>
    <n v="513"/>
    <s v="0557"/>
    <s v="GAGHA"/>
    <d v="2022-09-05T00:00:00"/>
    <x v="9"/>
    <s v="GHA0066"/>
    <s v="FR-800-GHA-0185-2022"/>
    <s v="N/A"/>
    <s v="Realizar la compra de jabon liquido espumoso para el lavado de manos"/>
    <n v="200457042"/>
    <m/>
    <s v="900-IP-0557-2022"/>
    <s v="IP-"/>
    <n v="202201122"/>
    <m/>
    <s v="N/A"/>
    <s v="N/A"/>
    <s v="N/A"/>
    <x v="2"/>
    <s v="JHON LARRY CAICEDO"/>
    <d v="2022-09-06T00:00:00"/>
    <e v="#VALUE!"/>
    <e v="#VALUE!"/>
    <m/>
    <s v="Cerrado"/>
    <x v="0"/>
    <d v="2022-11-30T00:00:00"/>
    <s v="28 DE SEPTIEMBRE EM ELABORACION DE FPA E INVITACION"/>
    <d v="2022-11-28T00:00:00"/>
    <x v="5"/>
    <s v="nov"/>
    <n v="84"/>
    <n v="83"/>
    <s v="G"/>
    <s v="FUNCIONAMIENTO"/>
    <m/>
    <m/>
    <m/>
    <m/>
    <m/>
    <m/>
    <m/>
    <m/>
    <m/>
    <m/>
    <m/>
    <m/>
    <m/>
    <m/>
    <m/>
    <n v="0"/>
    <m/>
    <m/>
  </r>
  <r>
    <n v="514"/>
    <s v="0558"/>
    <s v="GAGHA"/>
    <d v="2022-09-05T00:00:00"/>
    <x v="9"/>
    <s v="GHA0263"/>
    <s v="FR-800-GHA-0176-2022"/>
    <s v="800-CMA-1914-2021"/>
    <s v="Realizar las actividades necesarias para llevar a cabo las adecuaciones locativas y mantenimiento preventivos y correctivos en la Gerencia de Unidad Estrategica de Negocio de Acuaducto y Alcantarillado - Reparación Cubiertas Planta Centro Operativo Navarro"/>
    <n v="859987508"/>
    <s v="31 DE DICIEMBRE 2022"/>
    <s v="N/A"/>
    <m/>
    <n v="202204461"/>
    <n v="859987508"/>
    <s v="N/A"/>
    <s v="N/A"/>
    <s v="N/A"/>
    <x v="1"/>
    <s v="FRANCIA RAMÍREZ"/>
    <d v="2022-09-05T00:00:00"/>
    <e v="#VALUE!"/>
    <e v="#VALUE!"/>
    <s v="SI"/>
    <s v="Entregado al area"/>
    <x v="1"/>
    <m/>
    <m/>
    <d v="2022-09-26T00:00:00"/>
    <x v="11"/>
    <m/>
    <n v="21"/>
    <n v="21"/>
    <s v="N/A"/>
    <s v="FUNCIONAMIENTO"/>
    <s v="800-CMA-1914-2021/800-AO-2332-2022"/>
    <d v="2022-09-15T00:00:00"/>
    <n v="818754201"/>
    <s v="UNION TEMPORAL M&amp;C2021"/>
    <n v="202208536"/>
    <n v="41233307"/>
    <m/>
    <m/>
    <m/>
    <m/>
    <m/>
    <s v="CALI"/>
    <s v="LOCA"/>
    <m/>
    <n v="4.7946402263322176E-2"/>
    <n v="0"/>
    <n v="0"/>
    <n v="21"/>
  </r>
  <r>
    <n v="515"/>
    <s v="0559"/>
    <s v="GUENTIC"/>
    <d v="2022-09-05T00:00:00"/>
    <x v="9"/>
    <s v="GT0173"/>
    <s v="FR-400-GT-0200-2022"/>
    <s v="N/A"/>
    <s v="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
    <n v="8356062"/>
    <m/>
    <s v="900-IP-0559-2022"/>
    <s v="IP-"/>
    <s v="202205463_x000a_202205601"/>
    <m/>
    <m/>
    <m/>
    <s v="N/A"/>
    <x v="2"/>
    <s v="JULIO ERAZO"/>
    <d v="2022-09-06T00:00:00"/>
    <e v="#VALUE!"/>
    <e v="#VALUE!"/>
    <s v="NO"/>
    <s v="Devuelto"/>
    <x v="2"/>
    <d v="2022-11-10T00:00:00"/>
    <s v="EL 11 DE NOVIEMBRE SE DEVUELVE EL PROCESO AL AREA MEDIANTE MEMORANDO 901-0312-2022"/>
    <d v="2022-11-11T00:00:00"/>
    <x v="5"/>
    <s v="nov"/>
    <n v="67"/>
    <n v="66"/>
    <m/>
    <s v="FUNCIONAMIENTO"/>
    <m/>
    <m/>
    <m/>
    <m/>
    <m/>
    <m/>
    <m/>
    <m/>
    <m/>
    <m/>
    <m/>
    <m/>
    <m/>
    <m/>
    <m/>
    <n v="0"/>
    <m/>
    <m/>
  </r>
  <r>
    <n v="516"/>
    <s v="0560"/>
    <s v="GUENTIC"/>
    <d v="2022-09-06T00:00:00"/>
    <x v="9"/>
    <s v="GT0134"/>
    <s v="FR-400-GT-0162-2022"/>
    <s v="N/A"/>
    <s v="Suministro Plataforma de control Softswitch clase 4 y clase 5 y SBC para la GUENTIC"/>
    <n v="1500000000"/>
    <m/>
    <s v="900-IPU-0560-2022"/>
    <s v="IPU"/>
    <n v="202202659"/>
    <m/>
    <s v="N/A"/>
    <s v="N/A"/>
    <s v="N/A"/>
    <x v="0"/>
    <s v="ANA MARIA GIL"/>
    <d v="2022-09-06T00:00:00"/>
    <e v="#VALUE!"/>
    <e v="#VALUE!"/>
    <s v="NO"/>
    <s v="Devuelto"/>
    <x v="2"/>
    <m/>
    <s v="28 DE SEPTIEMBRE EN ELABORACIONDE FPA E INVITACION"/>
    <d v="2022-09-28T00:00:00"/>
    <x v="5"/>
    <s v="sep"/>
    <n v="22"/>
    <n v="22"/>
    <s v="N/A"/>
    <s v="INVERSION"/>
    <m/>
    <m/>
    <m/>
    <m/>
    <m/>
    <m/>
    <m/>
    <m/>
    <m/>
    <m/>
    <m/>
    <m/>
    <m/>
    <m/>
    <m/>
    <n v="0"/>
    <m/>
    <m/>
  </r>
  <r>
    <n v="517"/>
    <s v="0561"/>
    <s v="GUENAA"/>
    <d v="2022-09-06T00:00:00"/>
    <x v="9"/>
    <s v="GAA0798"/>
    <s v="FR-300-GAA-0153-2022"/>
    <s v="N/A"/>
    <s v="Renovar los componentes priorizados del sistema de filtración de las PTAPS de la Red Alta (Río Cali y La Reforma)"/>
    <n v="1310994372"/>
    <m/>
    <s v="900-IP-0561-2022"/>
    <s v="IP-"/>
    <s v="202202667_x000a_202202668"/>
    <m/>
    <m/>
    <m/>
    <s v="N/A"/>
    <x v="2"/>
    <s v="HAROLD MONDRAGON"/>
    <d v="2022-09-06T00:00:00"/>
    <e v="#VALUE!"/>
    <e v="#VALUE!"/>
    <m/>
    <s v="Cerrado"/>
    <x v="0"/>
    <d v="2022-12-09T00:00:00"/>
    <s v="28 DE SPETIEMBRE EN EVALUACION_x000a_10-11-2022, pediente aclaracion por parte del proponente "/>
    <d v="2022-12-09T00:00:00"/>
    <x v="5"/>
    <s v="dic"/>
    <n v="94"/>
    <n v="94"/>
    <s v="B"/>
    <s v="INVERSION"/>
    <m/>
    <m/>
    <m/>
    <m/>
    <m/>
    <m/>
    <m/>
    <m/>
    <m/>
    <m/>
    <m/>
    <m/>
    <m/>
    <m/>
    <m/>
    <n v="1"/>
    <m/>
    <m/>
  </r>
  <r>
    <n v="518"/>
    <s v="0562"/>
    <s v="GUENAA"/>
    <d v="2022-09-06T00:00:00"/>
    <x v="9"/>
    <s v="GAA0801"/>
    <s v="FR-300-GAA-0241-2022"/>
    <s v="N/A"/>
    <s v="Mantenimiento preventivo y correctivo de los componentes hidráulicos y obra civiles de las estaciones reguladoras de presion - ERP, puntos criticos - PC, en los sectores materializados del sistema de distribución de Agua Potable de la ciudad de Cali"/>
    <n v="499994047"/>
    <s v="2 MESES"/>
    <s v="900-IP-0562-2022"/>
    <m/>
    <n v="202200782"/>
    <n v="2200000000"/>
    <s v="N/A"/>
    <s v="N/A"/>
    <s v="N/A"/>
    <x v="2"/>
    <s v="HAROLD MONDRAGON"/>
    <d v="2022-09-06T00:00:00"/>
    <e v="#VALUE!"/>
    <e v="#VALUE!"/>
    <s v="SI"/>
    <s v="Entregado al area"/>
    <x v="1"/>
    <m/>
    <m/>
    <d v="2022-09-21T00:00:00"/>
    <x v="11"/>
    <m/>
    <n v="15"/>
    <n v="15"/>
    <s v="G"/>
    <s v="FUNCIONAMIENTO"/>
    <s v="300-AO-2291-2022"/>
    <d v="2022-09-14T00:00:00"/>
    <n v="498670335"/>
    <s v="ALVARO LAZARO DEL VALLE"/>
    <n v="202208432"/>
    <n v="1323712"/>
    <m/>
    <m/>
    <m/>
    <m/>
    <m/>
    <s v="CALI"/>
    <s v="LOCAL"/>
    <m/>
    <n v="2.6474555206054285E-3"/>
    <n v="1"/>
    <n v="1"/>
    <n v="11"/>
  </r>
  <r>
    <n v="519"/>
    <s v="0563"/>
    <s v="GUENAA"/>
    <d v="2022-09-06T00:00:00"/>
    <x v="9"/>
    <s v="GAA0798"/>
    <s v="FR-300-GAA-0242-2022"/>
    <s v="N/A"/>
    <s v="Mantenimiento de los componentes eléctricos, de instrumentación y comunicaciones en las estaciones reguladoras de presion (ERP), puntoscríticos (PC) de la Sectorización Hidráulica"/>
    <n v="499995611"/>
    <s v="2 MESES"/>
    <s v="900-IP-0563-2022"/>
    <m/>
    <n v="202200782"/>
    <n v="2200000000"/>
    <s v="N/A"/>
    <s v="N/A"/>
    <s v="N/A"/>
    <x v="2"/>
    <s v="HAROLD MONDRAGON"/>
    <d v="2022-09-21T00:00:00"/>
    <e v="#VALUE!"/>
    <e v="#VALUE!"/>
    <s v="SI"/>
    <s v="Entregado al area"/>
    <x v="1"/>
    <m/>
    <m/>
    <d v="2022-09-21T00:00:00"/>
    <x v="11"/>
    <m/>
    <n v="15"/>
    <n v="0"/>
    <s v="G"/>
    <s v="FUNCIONAMIENTO"/>
    <s v="300-AO-2289-2022"/>
    <d v="2022-09-14T00:00:00"/>
    <n v="499859500"/>
    <s v="EQUIPOSY HERRAMIENTAS INDUSTRIALES SAS"/>
    <n v="202208431"/>
    <n v="136111"/>
    <m/>
    <m/>
    <m/>
    <m/>
    <m/>
    <s v="CALI"/>
    <s v="LOCAL"/>
    <m/>
    <n v="2.7222438958569178E-4"/>
    <n v="1"/>
    <n v="1"/>
    <n v="11"/>
  </r>
  <r>
    <n v="520"/>
    <s v="0564"/>
    <s v="GUENAA"/>
    <d v="2022-09-06T00:00:00"/>
    <x v="9"/>
    <s v="GAA0799"/>
    <s v="FR-300-GAA-0243-2022"/>
    <s v="N/A"/>
    <s v="Mantenimientos de los macromedidores electromagneticos de la sectorización hidráulica del sistema de distribución de Agua Potable de la ciudad de Cali"/>
    <n v="498025516"/>
    <s v="2 MESES"/>
    <s v="900-IP-0564-2022"/>
    <m/>
    <n v="202200782"/>
    <m/>
    <s v="N/A"/>
    <s v="N/A"/>
    <s v="N/A"/>
    <x v="2"/>
    <s v="HAROLD MONDRAGON"/>
    <d v="2022-09-06T00:00:00"/>
    <e v="#VALUE!"/>
    <e v="#VALUE!"/>
    <s v="SI"/>
    <s v="Entregado al area"/>
    <x v="1"/>
    <m/>
    <m/>
    <d v="2022-09-23T00:00:00"/>
    <x v="11"/>
    <m/>
    <n v="17"/>
    <n v="17"/>
    <s v="G"/>
    <s v="FUNCIONAMIENTO"/>
    <s v="300-AO-2294-2022"/>
    <d v="2022-09-15T00:00:00"/>
    <n v="498012620"/>
    <s v="EQUIPOS Y HERRAMIENTAS INDUSTRIALES SAS"/>
    <n v="202208439"/>
    <n v="12896"/>
    <m/>
    <m/>
    <m/>
    <m/>
    <m/>
    <s v="CALI"/>
    <s v="LOCAL"/>
    <m/>
    <n v="2.5894255586695681E-5"/>
    <n v="1"/>
    <n v="1"/>
    <n v="13"/>
  </r>
  <r>
    <n v="521"/>
    <s v="0565"/>
    <s v="GUENAA"/>
    <d v="2022-09-06T00:00:00"/>
    <x v="9"/>
    <s v="GAA0800"/>
    <s v="FR-300-GAA-0244-2022"/>
    <s v="N/A"/>
    <s v="Mantenimientos de CAP Y Dataloger de las estaciones reguladoras de presión (ERP) y puntos criticos (PC) del sistema de distribución de Agua Potable de EMCALI EICE ESP"/>
    <n v="499973007"/>
    <s v="2 MESES"/>
    <s v="900-IP-0565-2022"/>
    <m/>
    <n v="202200782"/>
    <m/>
    <s v="N/A"/>
    <s v="N/A"/>
    <s v="N/A"/>
    <x v="2"/>
    <s v="HAROLD MONDRAGON"/>
    <d v="2022-09-06T00:00:00"/>
    <e v="#VALUE!"/>
    <e v="#VALUE!"/>
    <s v="SI"/>
    <s v="Entregado al area"/>
    <x v="1"/>
    <m/>
    <m/>
    <d v="2022-09-21T00:00:00"/>
    <x v="11"/>
    <m/>
    <n v="15"/>
    <n v="15"/>
    <s v="G"/>
    <s v="FUNCIONAMIENTO"/>
    <s v="300-AO-2290-2022"/>
    <d v="2022-09-14T00:00:00"/>
    <n v="498251989"/>
    <s v="ALVARO LAZARO DEL VALLE "/>
    <m/>
    <n v="1721018"/>
    <m/>
    <m/>
    <m/>
    <m/>
    <m/>
    <m/>
    <m/>
    <m/>
    <n v="3.442221831787811E-3"/>
    <n v="1"/>
    <n v="1"/>
    <n v="11"/>
  </r>
  <r>
    <n v="522"/>
    <s v="0566"/>
    <s v="GTI"/>
    <d v="2022-09-08T00:00:00"/>
    <x v="9"/>
    <m/>
    <s v="FR-200-GTI-0119-2022"/>
    <s v="N/A"/>
    <s v="Suscripción para uso de la plataforma de servicios de las API´s (Application Programming Interface) de Google Maps, para cumplir con los requerimientos propios o de Ley, respecto a la geolocalización de servicios, personas, rutas"/>
    <n v="1000000"/>
    <m/>
    <s v="900-IP-0566-2022"/>
    <s v="IP-"/>
    <n v="202205711"/>
    <m/>
    <m/>
    <m/>
    <s v="N/A"/>
    <x v="2"/>
    <s v="FRANCIA RAMÍREZ"/>
    <d v="2022-09-08T00:00:00"/>
    <e v="#VALUE!"/>
    <e v="#VALUE!"/>
    <m/>
    <s v="Entregado al area"/>
    <x v="1"/>
    <d v="2022-12-21T00:00:00"/>
    <m/>
    <d v="2022-12-20T00:00:00"/>
    <x v="14"/>
    <s v="dic"/>
    <n v="103"/>
    <n v="103"/>
    <s v="G"/>
    <s v="FUNCIONAMIENTO"/>
    <s v="200-AO-2462-2022"/>
    <d v="2022-12-13T00:00:00"/>
    <n v="999600"/>
    <s v="CARLOS GIOVANNI PARADA AVILA"/>
    <s v="AB-2300002991"/>
    <n v="400"/>
    <m/>
    <m/>
    <m/>
    <m/>
    <m/>
    <m/>
    <m/>
    <m/>
    <n v="4.0000000000000002E-4"/>
    <n v="0"/>
    <n v="1"/>
    <n v="46"/>
  </r>
  <r>
    <n v="523"/>
    <s v="0567"/>
    <s v="GTI"/>
    <d v="2022-09-09T00:00:00"/>
    <x v="9"/>
    <s v="GTI0037"/>
    <s v="FR-200-GTI-0114-2022"/>
    <s v="N/A"/>
    <s v="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
    <n v="177488500"/>
    <s v="28 DE NOVIEMBRE 2022"/>
    <s v="900-IP-0567-2022"/>
    <m/>
    <n v="202205631"/>
    <n v="177488500"/>
    <s v="N/A"/>
    <s v="N/A"/>
    <s v="N/A"/>
    <x v="2"/>
    <s v="CAMILO NUÑEZ"/>
    <d v="2022-09-12T00:00:00"/>
    <n v="60"/>
    <n v="57"/>
    <s v="SI"/>
    <s v="Entregado al area"/>
    <x v="1"/>
    <s v="28 DE SEPTIEMBRE EN SOLICITUD DE POLIZAS"/>
    <m/>
    <d v="2022-10-06T00:00:00"/>
    <x v="12"/>
    <n v="27"/>
    <m/>
    <n v="24"/>
    <s v="G"/>
    <s v="FUNCIONAMIENTO"/>
    <s v="200-AO-2365-2022"/>
    <d v="2022-09-15T00:00:00"/>
    <n v="177405200"/>
    <s v="VIVENTIC SAS"/>
    <n v="202208541"/>
    <n v="83300"/>
    <s v="CALI"/>
    <s v="LOCAL"/>
    <m/>
    <m/>
    <m/>
    <m/>
    <m/>
    <m/>
    <n v="4.693261816962789E-4"/>
    <n v="0"/>
    <n v="1"/>
    <n v="19"/>
  </r>
  <r>
    <n v="524"/>
    <s v="0568"/>
    <s v="GTI"/>
    <d v="2022-09-09T00:00:00"/>
    <x v="9"/>
    <s v="GTI0189"/>
    <s v="FR-200-GTI-0109-2022"/>
    <s v="N/A"/>
    <s v="Actualización del licenciamiento del software ArcGIS sobre el cual, opera el sistema de información Geográfica de la UENAA"/>
    <n v="260464881"/>
    <m/>
    <s v="900-IP-0568-2022"/>
    <s v="IP-"/>
    <n v="202203588"/>
    <m/>
    <s v="N/A"/>
    <s v="N/A"/>
    <s v="N/A"/>
    <x v="2"/>
    <s v="CAMILO NUÑEZ"/>
    <d v="2022-09-12T00:00:00"/>
    <e v="#VALUE!"/>
    <e v="#VALUE!"/>
    <m/>
    <s v="Devuelto"/>
    <x v="2"/>
    <d v="2022-12-06T00:00:00"/>
    <s v="28 DE SEPTIEMBRE EN ELABORACIONDE FPA E INVITACION_x000a_10-11-2022, COTIZACIONES_x000a_24-11-2022,  PROCESO QUE PRESENTA DEMORA DEBIDO A QUE DESDE EL DIA 04 DE NOVIEMBRE SE SOLICITO CDP AJUSTADO A SAP(AL AREA), AL NO TENER RESPUESTA POR PARTE DEL AREA, BAJE DIRECTAMENTE AL AREA DE PRESUPUESTO A QUE ME EMITIERAN NUEVO CDP._x000a_30-11-2022, EL PROCESO SE VA A DEVOLVER PORQUE ES UN SAM"/>
    <d v="2022-11-30T00:00:00"/>
    <x v="5"/>
    <s v="nov"/>
    <n v="82"/>
    <n v="79"/>
    <s v="C"/>
    <s v="FUNCIONAMIENTO_x000a_INVERSION"/>
    <m/>
    <m/>
    <m/>
    <m/>
    <m/>
    <m/>
    <m/>
    <m/>
    <m/>
    <m/>
    <m/>
    <m/>
    <m/>
    <m/>
    <m/>
    <n v="0"/>
    <m/>
    <m/>
  </r>
  <r>
    <n v="525"/>
    <s v="0569"/>
    <s v="GUENAA"/>
    <d v="2022-09-09T00:00:00"/>
    <x v="9"/>
    <s v="GAA0793"/>
    <s v="FR-300-GAA-0246-2022"/>
    <s v="300-CMA-1974-2020"/>
    <s v="Suministro de elementos de ferreteria"/>
    <n v="286263769"/>
    <s v="18 DE NOVIEMBRE 2022"/>
    <s v="N/A"/>
    <m/>
    <n v="202205687"/>
    <n v="286263769"/>
    <s v="N/A"/>
    <s v="N/A"/>
    <s v="N/A"/>
    <x v="1"/>
    <s v="LUCY ARBELAEZ"/>
    <d v="2022-09-09T00:00:00"/>
    <e v="#VALUE!"/>
    <e v="#VALUE!"/>
    <s v="SI"/>
    <s v="Entregado al area"/>
    <x v="1"/>
    <m/>
    <m/>
    <d v="2022-09-21T00:00:00"/>
    <x v="11"/>
    <m/>
    <n v="12"/>
    <n v="12"/>
    <s v="N/A"/>
    <s v="FUNCIONAMIENTO"/>
    <s v="300-CMA-1974-2020/800-AO-2328-2022"/>
    <d v="2022-09-15T00:00:00"/>
    <n v="285565244"/>
    <s v="EQUIPOS Y HERRAMIENTAS INDUSTRIALES SAS"/>
    <n v="202208489"/>
    <n v="698525"/>
    <m/>
    <m/>
    <m/>
    <m/>
    <m/>
    <s v="CALI"/>
    <s v="LOCAL"/>
    <m/>
    <n v="2.4401446345800053E-3"/>
    <n v="1"/>
    <n v="0"/>
    <n v="12"/>
  </r>
  <r>
    <n v="526"/>
    <s v="0570"/>
    <s v="GUENAA"/>
    <d v="2022-09-09T00:00:00"/>
    <x v="9"/>
    <s v="GAA0746"/>
    <s v="FR-300-GAA-0245-2022"/>
    <s v="N/A"/>
    <s v="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
    <n v="64998990"/>
    <m/>
    <s v="900-IP-0570-2022"/>
    <s v="IP-"/>
    <n v="202205888"/>
    <m/>
    <m/>
    <m/>
    <s v="N/A"/>
    <x v="2"/>
    <s v="LUCY ARBELAEZ"/>
    <d v="2022-09-12T00:00:00"/>
    <e v="#VALUE!"/>
    <e v="#VALUE!"/>
    <m/>
    <s v="Cerrado"/>
    <x v="0"/>
    <d v="2022-12-27T00:00:00"/>
    <m/>
    <d v="2022-12-29T00:00:00"/>
    <x v="5"/>
    <s v="dic"/>
    <n v="111"/>
    <n v="108"/>
    <m/>
    <s v="FUNCIONAMIENTO"/>
    <m/>
    <m/>
    <m/>
    <m/>
    <m/>
    <m/>
    <m/>
    <m/>
    <m/>
    <m/>
    <m/>
    <m/>
    <m/>
    <m/>
    <m/>
    <n v="1"/>
    <m/>
    <m/>
  </r>
  <r>
    <n v="527"/>
    <s v="0571"/>
    <s v="GTI"/>
    <d v="2022-09-09T00:00:00"/>
    <x v="9"/>
    <s v="GTI0191"/>
    <s v="FR-200-GTI-0110-2022"/>
    <s v="N/A"/>
    <s v="Actualizaciónpor un (1) año de la licencia de Infowater a través de la cual opera el Modelo de Simulación Hidráulica de Acueducto en el Centro de Control Maestro de la UENNA"/>
    <n v="35000000"/>
    <m/>
    <s v="900-IP-0477-2022"/>
    <s v="IP-"/>
    <n v="202203030"/>
    <m/>
    <m/>
    <m/>
    <s v="N/A"/>
    <x v="2"/>
    <s v="LUCY ARBELAEZ"/>
    <d v="2022-09-13T00:00:00"/>
    <e v="#VALUE!"/>
    <e v="#VALUE!"/>
    <s v="NO"/>
    <s v="Devuelto"/>
    <x v="2"/>
    <d v="2022-11-17T00:00:00"/>
    <s v="Devuelto con memorando 901-0308-2022 a la Gerencia de Area Tecnologia de la Informacion por tener caracteristicas de SAM."/>
    <d v="2022-11-17T00:00:00"/>
    <x v="5"/>
    <s v="nov"/>
    <n v="69"/>
    <n v="65"/>
    <m/>
    <s v="FUNCIONAMIENTO_x000a_INVERSION"/>
    <m/>
    <m/>
    <m/>
    <m/>
    <m/>
    <m/>
    <m/>
    <m/>
    <m/>
    <m/>
    <m/>
    <m/>
    <m/>
    <m/>
    <m/>
    <n v="0"/>
    <m/>
    <m/>
  </r>
  <r>
    <n v="528"/>
    <s v="0572"/>
    <s v="GUENE"/>
    <d v="2022-09-13T00:00:00"/>
    <x v="9"/>
    <s v="GE0382"/>
    <s v="FR-500-GE-0211-2022"/>
    <s v="N/A"/>
    <s v="Suministro de Inversor para RACK de 125 V DC 120 V AC"/>
    <n v="58274291"/>
    <m/>
    <s v="900-IP-0572-2022"/>
    <s v="IP-"/>
    <n v="202203959"/>
    <m/>
    <s v="N/A"/>
    <s v="N/A"/>
    <s v="N/A"/>
    <x v="2"/>
    <s v="ANA MARIA GIL"/>
    <d v="2022-09-14T00:00:00"/>
    <e v="#VALUE!"/>
    <e v="#VALUE!"/>
    <m/>
    <s v="Entregado al area"/>
    <x v="1"/>
    <d v="2022-12-26T00:00:00"/>
    <s v="28 DE SEPTIEMBRE EN ELABORACIONDE FPA E INVITACION_x000a_Se pídieron nuevamente los conceptos para ingresar las garantia de seriedad de la oferta_x000a_10-11-2022, se netrega al asesor para revision y firmas_x000a_24-11-2022 PENDIENTE QUE AREA AJUSTE VALOR DE PRESUPUESTO PARA CONTRATAR"/>
    <d v="2022-12-26T00:00:00"/>
    <x v="14"/>
    <s v="dic"/>
    <n v="104"/>
    <n v="103"/>
    <s v="G"/>
    <s v="INVERSION"/>
    <s v="500-AO-2483-2022"/>
    <d v="2022-12-19T00:00:00"/>
    <n v="58274291"/>
    <s v="POTENCIA Y TECNOLOGIAS INCORPORADAS SA"/>
    <s v="AB-2300003079"/>
    <n v="0"/>
    <m/>
    <m/>
    <m/>
    <m/>
    <m/>
    <m/>
    <m/>
    <m/>
    <n v="0"/>
    <n v="1"/>
    <n v="1"/>
    <n v="47"/>
  </r>
  <r>
    <n v="529"/>
    <s v="0573"/>
    <s v="GTI"/>
    <d v="2022-09-14T00:00:00"/>
    <x v="9"/>
    <s v="GTI0201"/>
    <s v="FR-200-GTI-0121-2022"/>
    <s v="N/A"/>
    <s v="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
    <n v="483000000"/>
    <m/>
    <s v="900-IP-0573-2022"/>
    <s v="IP-"/>
    <n v="202205833"/>
    <n v="483000000"/>
    <s v="N/A"/>
    <s v="N/A"/>
    <s v="N/A"/>
    <x v="2"/>
    <s v="AYDEE OVALLE"/>
    <d v="2022-09-14T00:00:00"/>
    <e v="#VALUE!"/>
    <e v="#VALUE!"/>
    <s v="NO"/>
    <s v="Cerrado"/>
    <x v="0"/>
    <m/>
    <s v="SE CIERRA PORQUE ES INADMISIBLE LA PROPUESTA"/>
    <d v="2022-09-28T00:00:00"/>
    <x v="5"/>
    <s v="sep"/>
    <n v="14"/>
    <n v="14"/>
    <m/>
    <s v="FUNCIONAMIENTO"/>
    <m/>
    <m/>
    <m/>
    <m/>
    <m/>
    <m/>
    <m/>
    <m/>
    <m/>
    <m/>
    <m/>
    <m/>
    <m/>
    <m/>
    <m/>
    <n v="0"/>
    <m/>
    <m/>
  </r>
  <r>
    <n v="530"/>
    <s v="0574"/>
    <s v="GUENE"/>
    <d v="2022-09-14T00:00:00"/>
    <x v="9"/>
    <s v="GE0365"/>
    <s v="FR-500-GE-0246-2022"/>
    <s v="N/A"/>
    <s v="Suministro de radios digital"/>
    <n v="12959100"/>
    <m/>
    <s v="900-IP-0574-2022"/>
    <s v="IP-"/>
    <n v="202202155"/>
    <n v="12959100"/>
    <s v="N/A"/>
    <s v="N/A"/>
    <s v="N/A"/>
    <x v="2"/>
    <s v="JULIO ERAZO"/>
    <d v="2022-09-14T00:00:00"/>
    <e v="#VALUE!"/>
    <e v="#VALUE!"/>
    <m/>
    <s v="Cerrado"/>
    <x v="0"/>
    <d v="2022-12-07T00:00:00"/>
    <s v="ESTE PROCESO ES POSIBLE QUE SE CIERRE PORQUE NO SE RECIBE LA OFERTA DEL PROVEEDOR INVITADO _x000a_07-12-2022, proceso cerrado mediante acta "/>
    <d v="2022-12-07T00:00:00"/>
    <x v="5"/>
    <s v="dic"/>
    <n v="84"/>
    <n v="84"/>
    <m/>
    <s v="FUNCIONAMIENTO"/>
    <m/>
    <m/>
    <m/>
    <m/>
    <m/>
    <m/>
    <m/>
    <m/>
    <m/>
    <m/>
    <m/>
    <m/>
    <m/>
    <m/>
    <m/>
    <n v="1"/>
    <m/>
    <m/>
  </r>
  <r>
    <n v="531"/>
    <s v="0575"/>
    <s v="GUENAA"/>
    <d v="2022-09-14T00:00:00"/>
    <x v="9"/>
    <s v="GAA0129"/>
    <s v="FR-300-GAA-0247-2022"/>
    <s v="N/A"/>
    <s v="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
    <n v="3000000"/>
    <m/>
    <s v="900-IP-0575-2022"/>
    <s v="IP-"/>
    <n v="202203057"/>
    <m/>
    <m/>
    <m/>
    <m/>
    <x v="2"/>
    <s v="MARIA CAMILA OLIVEROS"/>
    <d v="2022-09-14T00:00:00"/>
    <e v="#VALUE!"/>
    <e v="#VALUE!"/>
    <m/>
    <s v="Cerrado"/>
    <x v="0"/>
    <d v="2022-12-30T00:00:00"/>
    <s v="28 DE SEPTIEMBRE ESPERANDO REGISTRO DE PROVEEDORES_x000a_12-11-2022,  En espera de cotización, la cotización que envía el áera con el proveedor DIGITOP, aún no ha hecho el registro de proveedor"/>
    <d v="2022-12-30T00:00:00"/>
    <x v="5"/>
    <s v="dic"/>
    <n v="107"/>
    <n v="107"/>
    <m/>
    <s v="FUNCIONAMIENTO"/>
    <m/>
    <m/>
    <m/>
    <m/>
    <m/>
    <m/>
    <m/>
    <m/>
    <m/>
    <m/>
    <m/>
    <m/>
    <m/>
    <m/>
    <m/>
    <n v="1"/>
    <m/>
    <m/>
  </r>
  <r>
    <n v="532"/>
    <s v="0576"/>
    <s v="GTI"/>
    <d v="2022-09-14T00:00:00"/>
    <x v="9"/>
    <s v="GTI0198"/>
    <s v="FR-200-GTI-0118-2022"/>
    <s v="N/A"/>
    <s v="Servicio en Nube de escritorios remotos mensualizado para equipos de computo, que fortalezcan el desarrollo de las actividades de PQRS Y CALL CENTER solicitada por la Gerencia de Comerciales"/>
    <n v="174350001"/>
    <s v="3 MESES"/>
    <s v="900-IP-0533-2021"/>
    <m/>
    <n v="202205709"/>
    <n v="174350001"/>
    <s v="N/A"/>
    <s v="N/A"/>
    <m/>
    <x v="2"/>
    <s v="AYDEE OVALLE"/>
    <d v="2022-09-14T00:00:00"/>
    <e v="#VALUE!"/>
    <e v="#VALUE!"/>
    <s v="SI"/>
    <s v="Entregado al area"/>
    <x v="1"/>
    <m/>
    <m/>
    <d v="2022-09-23T00:00:00"/>
    <x v="11"/>
    <m/>
    <n v="9"/>
    <n v="9"/>
    <s v="C"/>
    <s v="FUNCIONAMIENTO"/>
    <s v="200-AO-2375-2022"/>
    <d v="2022-09-15T00:00:00"/>
    <n v="174348380"/>
    <s v="SOLUCIONES DE TECNOLOGIA E INGENIERIA SAS"/>
    <n v="202208525"/>
    <n v="1621"/>
    <m/>
    <m/>
    <m/>
    <m/>
    <m/>
    <s v="BOGOTA"/>
    <s v="NACIONAL"/>
    <m/>
    <n v="9.2973902535280177E-6"/>
    <n v="0"/>
    <n v="1"/>
    <n v="7"/>
  </r>
  <r>
    <n v="533"/>
    <s v="0577"/>
    <s v="GAGHA"/>
    <d v="2022-09-14T00:00:00"/>
    <x v="9"/>
    <s v="GHA0249"/>
    <s v="FR-800-GHA-0198-2022"/>
    <s v="800-CMA-1916-2021"/>
    <s v="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
    <n v="1076738029"/>
    <s v="31 DE DICIEMBRE 2022"/>
    <s v="N/A"/>
    <m/>
    <n v="202204128"/>
    <m/>
    <s v="N/A"/>
    <s v="N/A"/>
    <m/>
    <x v="1"/>
    <s v="FRANCIA RAMÍREZ"/>
    <d v="2022-09-14T00:00:00"/>
    <e v="#VALUE!"/>
    <e v="#VALUE!"/>
    <s v="SI"/>
    <s v="Entregado al area"/>
    <x v="1"/>
    <m/>
    <m/>
    <d v="2022-09-28T00:00:00"/>
    <x v="11"/>
    <m/>
    <n v="14"/>
    <n v="14"/>
    <s v="N/A"/>
    <s v="FUNCIONAMIENTO"/>
    <s v="CMA-1916-2021-800-AO-2333-2022"/>
    <d v="2022-09-15T00:00:00"/>
    <n v="1022901163"/>
    <s v="CONSORCIO IGS 2021"/>
    <n v="202208585"/>
    <n v="53836866"/>
    <m/>
    <m/>
    <m/>
    <m/>
    <m/>
    <s v="CALI"/>
    <s v="LOCAL"/>
    <m/>
    <n v="4.9999967076485602E-2"/>
    <n v="0"/>
    <n v="0"/>
    <n v="14"/>
  </r>
  <r>
    <n v="534"/>
    <s v="0578"/>
    <s v="GAGHA"/>
    <d v="2022-09-14T00:00:00"/>
    <x v="9"/>
    <s v="GHA0068"/>
    <s v="FR-800-GHA-0156-2022"/>
    <s v="N/A"/>
    <s v="Realizar la compra de café y azúcar, como elementos de cafeteria necesarios para EMCALI EICE ESP"/>
    <n v="118488510"/>
    <s v="28 DE NOVIEBRE 2022"/>
    <s v="900-IP-0578-2022"/>
    <m/>
    <s v="202204454_x000a_202203557_x000a_202203531_x000a_202203532_x000a_202203533"/>
    <n v="118488510"/>
    <s v="N/A"/>
    <s v="N/A"/>
    <s v="N/A"/>
    <x v="2"/>
    <s v="ANA MARIA GIL"/>
    <d v="2022-09-14T00:00:00"/>
    <n v="55"/>
    <n v="55"/>
    <s v="SI"/>
    <s v="Entregado al area"/>
    <x v="1"/>
    <s v="27 DE SEPTIEMBRE EN EXPEDICION DE POLIZAS"/>
    <m/>
    <d v="2022-10-03T00:00:00"/>
    <x v="12"/>
    <n v="19"/>
    <m/>
    <n v="19"/>
    <s v="G"/>
    <s v="FUNCIONAMIENTO"/>
    <s v="800-AO-2371-2022"/>
    <d v="2022-09-15T00:00:00"/>
    <n v="118488510"/>
    <s v="MASUNION SAS"/>
    <n v="202208527"/>
    <n v="0"/>
    <s v="CALI"/>
    <s v="LOCAL"/>
    <m/>
    <m/>
    <m/>
    <m/>
    <m/>
    <m/>
    <n v="0"/>
    <n v="0"/>
    <n v="1"/>
    <n v="13"/>
  </r>
  <r>
    <n v="535"/>
    <s v="0579"/>
    <s v="GUENE"/>
    <d v="2022-09-15T00:00:00"/>
    <x v="9"/>
    <s v="PENDIENTE"/>
    <s v="FR-500-GE-0231-2022"/>
    <s v="N/A"/>
    <s v="Suministro Transformadores de Corriente"/>
    <n v="449226785"/>
    <s v="60 DIAS"/>
    <s v="900-IP-0579-2022"/>
    <m/>
    <n v="202205366"/>
    <n v="449226785"/>
    <s v="N/A"/>
    <s v="N/A"/>
    <m/>
    <x v="2"/>
    <s v="LINA ECHAVARRIA"/>
    <d v="2022-09-15T00:00:00"/>
    <e v="#VALUE!"/>
    <e v="#VALUE!"/>
    <s v="SI"/>
    <s v="Entregado al area"/>
    <x v="1"/>
    <m/>
    <m/>
    <d v="2022-09-23T00:00:00"/>
    <x v="11"/>
    <m/>
    <n v="8"/>
    <n v="8"/>
    <s v="G"/>
    <s v="INVERSION"/>
    <s v="500-AO-2366-2022"/>
    <d v="2022-09-15T00:00:00"/>
    <n v="163548143"/>
    <s v="INPEL SA"/>
    <n v="202208551"/>
    <n v="285678642"/>
    <m/>
    <m/>
    <m/>
    <m/>
    <m/>
    <s v="CALI"/>
    <s v="LOCAL"/>
    <m/>
    <n v="0.63593412400821114"/>
    <n v="1"/>
    <n v="1"/>
    <n v="6"/>
  </r>
  <r>
    <n v="536"/>
    <s v="0580"/>
    <s v="GTI"/>
    <d v="2022-09-15T00:00:00"/>
    <x v="9"/>
    <s v="GTI0202"/>
    <s v="FR-200-GTI-0120-2022"/>
    <s v="N/A"/>
    <s v="Adquisición de Librería IBM TS4300 con 6 drives LT07 8 ( con posibilidad de conectar 2 LTO más)"/>
    <n v="391316625"/>
    <s v="30 DIAS"/>
    <s v="900-IP-0580-2022"/>
    <m/>
    <n v="202205681"/>
    <m/>
    <s v="N/A"/>
    <s v="N/A"/>
    <m/>
    <x v="2"/>
    <s v="AYDEE OVALLE"/>
    <d v="2022-09-15T00:00:00"/>
    <e v="#VALUE!"/>
    <e v="#VALUE!"/>
    <s v="SI"/>
    <s v="Entregado al area"/>
    <x v="1"/>
    <m/>
    <m/>
    <d v="2022-09-21T00:00:00"/>
    <x v="11"/>
    <m/>
    <n v="6"/>
    <n v="6"/>
    <s v="G"/>
    <s v="FUNCIONAMIENTO"/>
    <s v="200-AO-2376-2022"/>
    <d v="2022-09-15T00:00:00"/>
    <n v="391316625"/>
    <s v="INTEGRA TIC TECNOLOGIAS DE OPTIMIZACION SAS"/>
    <m/>
    <n v="0"/>
    <m/>
    <m/>
    <m/>
    <m/>
    <m/>
    <m/>
    <m/>
    <m/>
    <n v="0"/>
    <n v="0"/>
    <n v="1"/>
    <n v="4"/>
  </r>
  <r>
    <n v="537"/>
    <s v="0582"/>
    <s v="GUENTIC"/>
    <d v="2022-09-16T00:00:00"/>
    <x v="9"/>
    <s v="GT0245"/>
    <s v="FR-400-GT-0203-2022"/>
    <s v="N/A"/>
    <s v="Suministro de conectores modulares para realizar empalme de conductores de cobre en cables multípares de uso en la red de planta externa requeridos para el mantenimiento de las redes de acceso de la GUENTIC"/>
    <n v="115099000"/>
    <m/>
    <m/>
    <s v=""/>
    <n v="202203611"/>
    <m/>
    <m/>
    <m/>
    <m/>
    <x v="3"/>
    <s v="SIN ASIGNAR"/>
    <m/>
    <e v="#VALUE!"/>
    <e v="#VALUE!"/>
    <s v="NO"/>
    <s v="Devuelto"/>
    <x v="2"/>
    <m/>
    <s v="se devuelve por suspension de procesos por parte de  la gerencia general"/>
    <d v="2022-09-16T00:00:00"/>
    <x v="5"/>
    <s v="sep"/>
    <n v="0"/>
    <n v="44820"/>
    <m/>
    <s v="FUNCIONAMIENTO"/>
    <m/>
    <m/>
    <m/>
    <m/>
    <m/>
    <m/>
    <m/>
    <m/>
    <m/>
    <m/>
    <m/>
    <m/>
    <m/>
    <m/>
    <m/>
    <n v="0"/>
    <m/>
    <m/>
  </r>
  <r>
    <n v="538"/>
    <s v="0583"/>
    <s v="GUENE"/>
    <d v="2022-09-19T00:00:00"/>
    <x v="9"/>
    <s v="GE0184"/>
    <s v="FR-500-GE-0187-2022"/>
    <s v="N/A"/>
    <s v="Mantenimiento de Plantas de Emergencia de las subestaciones de Energia"/>
    <n v="106255100"/>
    <m/>
    <m/>
    <s v=""/>
    <n v="202205421"/>
    <m/>
    <m/>
    <m/>
    <m/>
    <x v="3"/>
    <s v="SIN ASIGNAR"/>
    <m/>
    <e v="#VALUE!"/>
    <e v="#VALUE!"/>
    <s v="NO"/>
    <s v="Devuelto"/>
    <x v="2"/>
    <m/>
    <s v="se devuelve por suspension de procesos por parte de  la gerencia general"/>
    <d v="2022-09-16T00:00:00"/>
    <x v="5"/>
    <s v="sep"/>
    <n v="-3"/>
    <n v="44820"/>
    <m/>
    <s v="FUNCIONAMIENTO"/>
    <m/>
    <m/>
    <m/>
    <m/>
    <m/>
    <m/>
    <m/>
    <m/>
    <m/>
    <m/>
    <m/>
    <m/>
    <m/>
    <m/>
    <m/>
    <n v="1"/>
    <m/>
    <m/>
  </r>
  <r>
    <n v="539"/>
    <s v="0584"/>
    <s v="GUENE"/>
    <d v="2022-09-19T00:00:00"/>
    <x v="9"/>
    <s v="GE0190"/>
    <s v="FR-500-GE-0228-2022"/>
    <s v="N/A"/>
    <s v="Mantenimiento de Gatos Hidraulico marca ENERPAC para 50 toneladas"/>
    <n v="35283500"/>
    <m/>
    <m/>
    <s v=""/>
    <n v="202205966"/>
    <m/>
    <m/>
    <m/>
    <m/>
    <x v="3"/>
    <s v="SIN ASIGNAR"/>
    <m/>
    <e v="#VALUE!"/>
    <e v="#VALUE!"/>
    <s v="NO"/>
    <s v="Devuelto"/>
    <x v="2"/>
    <m/>
    <s v="se devuelve por suspension de procesos por parte de  la gerencia general"/>
    <d v="2022-09-16T00:00:00"/>
    <x v="5"/>
    <s v="sep"/>
    <n v="-3"/>
    <n v="44820"/>
    <m/>
    <s v="FUNCIONAMIENTO"/>
    <m/>
    <m/>
    <m/>
    <m/>
    <m/>
    <m/>
    <m/>
    <m/>
    <m/>
    <m/>
    <m/>
    <m/>
    <m/>
    <m/>
    <m/>
    <n v="1"/>
    <m/>
    <m/>
  </r>
  <r>
    <n v="540"/>
    <s v="0585"/>
    <s v="GUENE"/>
    <d v="2022-09-19T00:00:00"/>
    <x v="9"/>
    <s v="GE0385"/>
    <s v="FR-500-GE-0260-2022"/>
    <s v="N/A"/>
    <s v="Mantenimiento de Trailers Móviles"/>
    <n v="35700000"/>
    <m/>
    <m/>
    <s v=""/>
    <n v="202205967"/>
    <m/>
    <m/>
    <m/>
    <m/>
    <x v="3"/>
    <s v="SIN ASIGNAR"/>
    <m/>
    <e v="#VALUE!"/>
    <e v="#VALUE!"/>
    <s v="NO"/>
    <s v="Devuelto"/>
    <x v="2"/>
    <m/>
    <m/>
    <d v="2022-09-16T00:00:00"/>
    <x v="5"/>
    <s v="sep"/>
    <n v="-3"/>
    <n v="44820"/>
    <m/>
    <s v="FUNCIONAMIENTO"/>
    <m/>
    <m/>
    <m/>
    <m/>
    <m/>
    <m/>
    <m/>
    <m/>
    <m/>
    <m/>
    <m/>
    <m/>
    <m/>
    <m/>
    <m/>
    <n v="1"/>
    <m/>
    <m/>
  </r>
  <r>
    <n v="541"/>
    <s v="0586"/>
    <s v="GUENE"/>
    <d v="2022-09-20T00:00:00"/>
    <x v="9"/>
    <s v="GE0390"/>
    <s v="FR-500-GE-0232-2022"/>
    <s v="N/A"/>
    <s v="Suministro de Conectores de Perforación"/>
    <n v="161640675"/>
    <m/>
    <s v="900-IP-0586-2022"/>
    <s v="IP-"/>
    <n v="202205359"/>
    <m/>
    <s v="N/A"/>
    <s v="N/A"/>
    <s v="N/A"/>
    <x v="2"/>
    <s v="JULIO ERAZO"/>
    <d v="2022-09-20T00:00:00"/>
    <e v="#VALUE!"/>
    <e v="#VALUE!"/>
    <m/>
    <s v="Cerrado"/>
    <x v="0"/>
    <d v="2022-12-27T00:00:00"/>
    <s v="29 de septiembre en espera de la derivad del pacc_x000a_10-11-2022, se paso para revision de asesor GAEP_x000a_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_x000a_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
    <d v="2022-12-27T00:00:00"/>
    <x v="5"/>
    <s v="dic"/>
    <n v="98"/>
    <n v="98"/>
    <m/>
    <s v="INVERSION"/>
    <m/>
    <m/>
    <m/>
    <m/>
    <m/>
    <m/>
    <m/>
    <m/>
    <m/>
    <m/>
    <m/>
    <m/>
    <m/>
    <m/>
    <m/>
    <n v="1"/>
    <m/>
    <m/>
  </r>
  <r>
    <n v="542"/>
    <s v="0587"/>
    <s v="GUENAA"/>
    <d v="2022-09-20T00:00:00"/>
    <x v="9"/>
    <s v="GAA0803"/>
    <s v="FR-300-GAA-0251-2022"/>
    <s v="N/A"/>
    <s v="Realizar la reparación, mantenimiento y puesta en funcionamiento de equipos y componentes críticos en Estaciones de Bombeo de Aguas Lluvias y Residuales para mitigar riesgos en el servicio de bombeo asociados a la variabilidad climática"/>
    <n v="500000000"/>
    <m/>
    <s v="900-IP-0587-2022"/>
    <s v="IP-"/>
    <n v="202205979"/>
    <m/>
    <m/>
    <m/>
    <m/>
    <x v="2"/>
    <s v="JHON LARRY CAICEDO"/>
    <d v="2022-11-03T00:00:00"/>
    <e v="#VALUE!"/>
    <e v="#VALUE!"/>
    <s v="NO"/>
    <s v="Revision Asesor GAE"/>
    <x v="2"/>
    <d v="2022-11-24T00:00:00"/>
    <s v="se devuelve por suspension de procesos por parte de  la gerencia general"/>
    <d v="2022-12-13T00:00:00"/>
    <x v="5"/>
    <s v="dic"/>
    <n v="84"/>
    <n v="40"/>
    <m/>
    <s v="FUNCIONAMIENTO"/>
    <m/>
    <m/>
    <m/>
    <m/>
    <m/>
    <m/>
    <m/>
    <m/>
    <m/>
    <m/>
    <m/>
    <m/>
    <m/>
    <m/>
    <m/>
    <n v="1"/>
    <m/>
    <m/>
  </r>
  <r>
    <n v="543"/>
    <s v="0588"/>
    <s v="GUENTIC"/>
    <d v="2022-09-20T00:00:00"/>
    <x v="9"/>
    <s v="GT0235"/>
    <s v="FR-400-GT-0187-2022"/>
    <s v="N/A"/>
    <s v="Compra de equipos terminales (Access Point) para permitir la conectividad de internet a instituciones educativas y demás clientes corporativos que requieran puntos de acceso"/>
    <n v="478845428"/>
    <m/>
    <m/>
    <s v=""/>
    <n v="202204472"/>
    <m/>
    <m/>
    <m/>
    <m/>
    <x v="3"/>
    <s v="JULIO GARCIA"/>
    <d v="2022-11-09T00:00:00"/>
    <e v="#VALUE!"/>
    <e v="#VALUE!"/>
    <s v="NO"/>
    <s v="Devuelto"/>
    <x v="2"/>
    <m/>
    <s v="se devuelve por suspension de procesos por parte de  la gerencia general"/>
    <d v="2022-12-26T00:00:00"/>
    <x v="5"/>
    <s v="dic"/>
    <n v="97"/>
    <n v="47"/>
    <m/>
    <s v="INVERSION"/>
    <m/>
    <m/>
    <m/>
    <m/>
    <m/>
    <m/>
    <m/>
    <m/>
    <m/>
    <m/>
    <m/>
    <m/>
    <m/>
    <m/>
    <m/>
    <n v="0"/>
    <m/>
    <m/>
  </r>
  <r>
    <n v="544"/>
    <s v="0589"/>
    <s v="GUENTIC"/>
    <d v="2022-09-20T00:00:00"/>
    <x v="9"/>
    <s v="GT0251"/>
    <s v="FR-400-GT-0208-2022"/>
    <s v="N/A"/>
    <s v="Suministro de Terminales Ópticos ONT para la instalación de servicios en los clientes a través de la expansión de proyectos de FTTH (fibra hasta la casa) de EMCALI"/>
    <n v="3028654720"/>
    <m/>
    <m/>
    <s v=""/>
    <s v="202203853_x000a_202205919"/>
    <m/>
    <m/>
    <m/>
    <m/>
    <x v="3"/>
    <s v="SIN ASIGNAR"/>
    <m/>
    <e v="#VALUE!"/>
    <e v="#VALUE!"/>
    <s v="NO"/>
    <s v="Devuelto"/>
    <x v="2"/>
    <m/>
    <s v="se devuelve por suspension de procesos por parte de  la gerencia general"/>
    <d v="2022-09-20T00:00:00"/>
    <x v="5"/>
    <s v="sep"/>
    <n v="0"/>
    <n v="44824"/>
    <m/>
    <s v="INVERSION"/>
    <m/>
    <m/>
    <m/>
    <m/>
    <m/>
    <m/>
    <m/>
    <m/>
    <m/>
    <m/>
    <m/>
    <m/>
    <m/>
    <m/>
    <m/>
    <n v="0"/>
    <m/>
    <m/>
  </r>
  <r>
    <n v="545"/>
    <s v="0590"/>
    <s v="GTI"/>
    <d v="2022-09-21T00:00:00"/>
    <x v="9"/>
    <s v="GTI0199"/>
    <s v="FR-200-GTI-0117-2022"/>
    <s v="N/A"/>
    <s v="Adquisición de Diademas Binaurales para el Contact Center de la Gerencia Comercial"/>
    <n v="44292962"/>
    <m/>
    <m/>
    <s v=""/>
    <n v="202205661"/>
    <m/>
    <m/>
    <m/>
    <m/>
    <x v="3"/>
    <s v="SIN ASIGNAR"/>
    <m/>
    <e v="#VALUE!"/>
    <e v="#VALUE!"/>
    <s v="NO"/>
    <s v="Devuelto"/>
    <x v="2"/>
    <m/>
    <s v="se devuelve por suspension de procesos por parte de  la gerencia general"/>
    <d v="2022-09-20T00:00:00"/>
    <x v="5"/>
    <s v="sep"/>
    <n v="-1"/>
    <n v="44824"/>
    <m/>
    <s v="PENDIENTE"/>
    <m/>
    <m/>
    <m/>
    <m/>
    <m/>
    <m/>
    <m/>
    <m/>
    <m/>
    <m/>
    <m/>
    <m/>
    <m/>
    <m/>
    <m/>
    <n v="0"/>
    <m/>
    <m/>
  </r>
  <r>
    <n v="546"/>
    <s v="0591"/>
    <s v="GUENE"/>
    <d v="2022-09-23T00:00:00"/>
    <x v="9"/>
    <s v="GE0358"/>
    <s v="FR-500-GE-0225-2022"/>
    <s v="N/A"/>
    <s v="Prestar servicios de transporte especial terrestre en zona urbana y rural de Santiago de Cali"/>
    <n v="160000000"/>
    <m/>
    <m/>
    <s v=""/>
    <n v="202204462"/>
    <m/>
    <m/>
    <m/>
    <m/>
    <x v="3"/>
    <s v="SIN ASIGNAR"/>
    <m/>
    <e v="#VALUE!"/>
    <e v="#VALUE!"/>
    <s v="NO"/>
    <s v="Devuelto"/>
    <x v="2"/>
    <m/>
    <s v="se devuelve por suspension de procesos por parte de  la gerencia general"/>
    <d v="2022-09-20T00:00:00"/>
    <x v="5"/>
    <s v="sep"/>
    <n v="-3"/>
    <n v="44824"/>
    <m/>
    <s v="FUNCIONAMIENTO"/>
    <m/>
    <m/>
    <m/>
    <m/>
    <m/>
    <m/>
    <m/>
    <m/>
    <m/>
    <m/>
    <m/>
    <m/>
    <m/>
    <m/>
    <m/>
    <n v="1"/>
    <m/>
    <m/>
  </r>
  <r>
    <n v="547"/>
    <s v="0592"/>
    <s v="GUENTIC"/>
    <d v="2022-09-24T00:00:00"/>
    <x v="9"/>
    <s v="GT0138_x000a_GT0201_x000a_GT0200_x000a_GT0143"/>
    <s v="FR-400-GT-0156-2022"/>
    <s v="N/A"/>
    <s v="Dotación de componentes especializados para el mantenimiento de redes de acceso en fibra óptica, para el personal de la GUENTIC"/>
    <n v="346526416"/>
    <m/>
    <s v="900-IP-0592-2022"/>
    <s v="IP-"/>
    <s v="202202913_x000a_202202886_x000a_202202885"/>
    <m/>
    <m/>
    <m/>
    <m/>
    <x v="2"/>
    <s v="SIN ASIGNAR"/>
    <m/>
    <e v="#VALUE!"/>
    <e v="#VALUE!"/>
    <s v="NO"/>
    <s v="Devuelto"/>
    <x v="2"/>
    <m/>
    <s v="se devuelve por suspension de procesos por parte de  la gerencia general"/>
    <d v="2022-09-20T00:00:00"/>
    <x v="5"/>
    <s v="sep"/>
    <n v="-4"/>
    <n v="44824"/>
    <m/>
    <s v="FUNCIONAMIENTO"/>
    <m/>
    <m/>
    <m/>
    <m/>
    <m/>
    <m/>
    <m/>
    <m/>
    <m/>
    <m/>
    <m/>
    <m/>
    <m/>
    <m/>
    <m/>
    <n v="0"/>
    <m/>
    <m/>
  </r>
  <r>
    <n v="548"/>
    <s v="0593"/>
    <s v="GUENTIC"/>
    <d v="2022-09-25T00:00:00"/>
    <x v="9"/>
    <s v="GT0143"/>
    <s v="FR-400-GT-0194-2022"/>
    <s v="N/A"/>
    <s v="Suministro de Repuestos e insumos para equipos de climatización de Telecomunicaciones de EMCALI"/>
    <n v="146064884"/>
    <m/>
    <m/>
    <s v=""/>
    <n v="202202989"/>
    <m/>
    <m/>
    <m/>
    <m/>
    <x v="3"/>
    <s v="SIN ASIGNAR"/>
    <m/>
    <e v="#VALUE!"/>
    <e v="#VALUE!"/>
    <s v="NO"/>
    <s v="Devuelto"/>
    <x v="2"/>
    <m/>
    <s v="se devuelve por suspension de procesos por parte de  la gerencia general"/>
    <d v="2022-09-20T00:00:00"/>
    <x v="5"/>
    <s v="sep"/>
    <n v="-5"/>
    <n v="44824"/>
    <m/>
    <s v="FUNCIONAMIENTO"/>
    <m/>
    <m/>
    <m/>
    <m/>
    <m/>
    <m/>
    <m/>
    <m/>
    <m/>
    <m/>
    <m/>
    <m/>
    <m/>
    <m/>
    <m/>
    <n v="0"/>
    <m/>
    <m/>
  </r>
  <r>
    <n v="549"/>
    <s v="0594"/>
    <s v="GTI"/>
    <d v="2022-09-26T00:00:00"/>
    <x v="9"/>
    <s v="GTI0203"/>
    <s v="FR-200-GTI-0134-2022"/>
    <s v="N/A"/>
    <s v="Mantenimiento correctivo de discos de almacenamiento para el array de discos ubicado en el data center del Centro de Control Maestro UENAA, en el cual se almacena la Geodatabase (base de datos) del Sistema de Información Geográfica (SIG)"/>
    <n v="3639020"/>
    <m/>
    <s v="900-IP-0594-2022"/>
    <s v="IP-"/>
    <n v="202205909"/>
    <m/>
    <m/>
    <m/>
    <m/>
    <x v="2"/>
    <s v="JULIO ERAZO"/>
    <d v="2022-11-08T00:00:00"/>
    <n v="119"/>
    <n v="76"/>
    <m/>
    <s v="Entregado al area"/>
    <x v="1"/>
    <d v="2022-12-23T00:00:00"/>
    <s v="REVISION FPA E INVITACION POR PARTE ASESOR GAE"/>
    <d v="2022-12-23T00:00:00"/>
    <x v="14"/>
    <s v="Dec"/>
    <n v="88"/>
    <n v="45"/>
    <s v="G"/>
    <s v="INVERSION"/>
    <s v="200-AO-2477-2022"/>
    <d v="2022-12-16T00:00:00"/>
    <n v="3639020"/>
    <s v="DC TECHNOLOGY SERVICES S.A.S "/>
    <s v="AB-2300003054"/>
    <n v="0"/>
    <m/>
    <m/>
    <m/>
    <m/>
    <m/>
    <m/>
    <m/>
    <m/>
    <n v="0"/>
    <n v="0"/>
    <n v="1"/>
    <n v="37"/>
  </r>
  <r>
    <n v="550"/>
    <s v="0595"/>
    <s v="GUENAA"/>
    <d v="2022-09-27T00:00:00"/>
    <x v="9"/>
    <s v="GAA0804"/>
    <s v="FR-300-GAA-0254-2022"/>
    <s v="300-CMA-1974-2020"/>
    <s v="Suministro de herramientas especializadas para la Unidad de Mantenimiento"/>
    <n v="289287619"/>
    <m/>
    <s v="N/A"/>
    <s v=""/>
    <s v="202205992_x000a_202205993"/>
    <m/>
    <m/>
    <m/>
    <m/>
    <x v="1"/>
    <s v="LUCY ARBELAEZ"/>
    <m/>
    <n v="118"/>
    <n v="44949"/>
    <m/>
    <s v="Entregado al area"/>
    <x v="1"/>
    <d v="2022-11-30T00:00:00"/>
    <s v="Se pasa para revision de invitacion a asesora GAE 15-11-2022"/>
    <d v="2022-12-29T00:00:00"/>
    <x v="14"/>
    <s v="Dec"/>
    <n v="93"/>
    <n v="44924"/>
    <s v="N/A"/>
    <s v="INVERSION"/>
    <s v="CMA-1974-2020-300-AO-2473-2022"/>
    <d v="2022-12-16T00:00:00"/>
    <n v="289077539"/>
    <s v="EQUIPOS Y HERRAMIENTAS INDUSTRIALES SAS."/>
    <m/>
    <n v="210080"/>
    <m/>
    <m/>
    <m/>
    <m/>
    <m/>
    <m/>
    <m/>
    <m/>
    <n v="7.2619768770678013E-4"/>
    <n v="1"/>
    <n v="0"/>
    <n v="93"/>
  </r>
  <r>
    <n v="551"/>
    <s v="0596"/>
    <s v="GUENAA"/>
    <d v="2022-10-14T00:00:00"/>
    <x v="10"/>
    <s v="GAA0217"/>
    <s v="FR-300-GAA-0255-2022"/>
    <s v="300-CMA-1243-2020"/>
    <s v="Realizar el Suministro de Hidroxido de Sodio para ser utilizado en el Tratamiento de Agua Potable para Consumo Humano"/>
    <n v="363534885"/>
    <m/>
    <s v="N/A"/>
    <s v=""/>
    <n v="202202688"/>
    <m/>
    <m/>
    <m/>
    <m/>
    <x v="3"/>
    <s v="LUCY ARBELAEZ"/>
    <d v="2022-10-18T00:00:00"/>
    <e v="#VALUE!"/>
    <e v="#VALUE!"/>
    <s v="NO"/>
    <s v="Devuelto"/>
    <x v="2"/>
    <d v="2022-11-17T00:00:00"/>
    <s v="Devuelto con memorando 900-0458-2022 a la Gerencia de Eneergia por que el unico proveedor que presento cotización   no cuenta con el personal disponible e idóneo según el alcance requerido en el proceso,  hasta antes de mediados de enero de 2023"/>
    <d v="2022-11-17T00:00:00"/>
    <x v="5"/>
    <s v="nov"/>
    <n v="34"/>
    <n v="30"/>
    <m/>
    <s v="PENDIENTE"/>
    <m/>
    <m/>
    <m/>
    <m/>
    <m/>
    <m/>
    <m/>
    <m/>
    <m/>
    <m/>
    <m/>
    <m/>
    <m/>
    <m/>
    <m/>
    <n v="1"/>
    <m/>
    <m/>
  </r>
  <r>
    <n v="552"/>
    <s v="0597"/>
    <s v="GTI"/>
    <d v="2022-10-24T00:00:00"/>
    <x v="10"/>
    <s v="GTI0201"/>
    <s v="FR-200-GTI-0121-2022"/>
    <m/>
    <s v="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
    <n v="483000000"/>
    <m/>
    <m/>
    <s v=""/>
    <n v="202205833"/>
    <m/>
    <m/>
    <m/>
    <m/>
    <x v="3"/>
    <s v="AYDEE OVALLE"/>
    <d v="2022-10-25T00:00:00"/>
    <e v="#VALUE!"/>
    <e v="#VALUE!"/>
    <s v="NO"/>
    <s v="Devuelto"/>
    <x v="2"/>
    <d v="2022-11-10T00:00:00"/>
    <s v="SE DEVUELVE AL AREA CON MEMORANDO 901-0297-2022 DEL 1 DE NOVIEMBRE 2022, REMPLAZAR FR 200-GTI-0138-2022 "/>
    <d v="2022-11-01T00:00:00"/>
    <x v="5"/>
    <s v="nov"/>
    <n v="8"/>
    <n v="7"/>
    <m/>
    <s v="FUNCIONAMIENTO"/>
    <m/>
    <m/>
    <m/>
    <m/>
    <m/>
    <m/>
    <m/>
    <m/>
    <m/>
    <m/>
    <m/>
    <m/>
    <m/>
    <m/>
    <m/>
    <n v="0"/>
    <m/>
    <m/>
  </r>
  <r>
    <n v="553"/>
    <s v="0598"/>
    <s v="GUENAA"/>
    <d v="2022-10-27T00:00:00"/>
    <x v="10"/>
    <s v="GAA0812"/>
    <s v="FR-300-GAA-0257-2022"/>
    <m/>
    <s v="Atención y Rehabilitación de tuberías Estalladas (Mayores o Iguales a 12&quot;) en diferentes sectores de la Ciudad de Cali"/>
    <n v="500000000"/>
    <m/>
    <s v="900-IP-0598-2022"/>
    <s v="IP-"/>
    <n v="202205991"/>
    <m/>
    <m/>
    <m/>
    <m/>
    <x v="2"/>
    <s v="PAOLA BELTRAN"/>
    <d v="2022-11-08T00:00:00"/>
    <e v="#VALUE!"/>
    <e v="#VALUE!"/>
    <m/>
    <s v="Cerrado"/>
    <x v="0"/>
    <d v="2022-12-30T00:00:00"/>
    <s v="24-11-2022, En revisión de Shara y firma de Gerente Memorando de devolución de requerimiento desde el 24/11/2022 En tramite de firmas de ACTA TERMINACION ANTICIPADA POR MUTUO ACUERDO DE LA ACEPTACION DE OFERTA No  300-AO-2312-2022_x000a_ENTRE EMCALI EICE ESP Y AYAPAC CONSTRUCCIONES SAS dentro del proceso 900-IP-0598-2022, debido a que por motivos expresados por el área referente al plazo de ejecución del proceso no se podria ejecutar vigencia 2022, por tanto se decide emitir acta de terminación por mutuo."/>
    <d v="2022-12-29T00:00:00"/>
    <x v="5"/>
    <s v="dic"/>
    <n v="63"/>
    <n v="51"/>
    <m/>
    <s v="INVERSION"/>
    <m/>
    <m/>
    <m/>
    <m/>
    <m/>
    <m/>
    <m/>
    <m/>
    <m/>
    <m/>
    <m/>
    <m/>
    <m/>
    <m/>
    <m/>
    <n v="1"/>
    <m/>
    <m/>
  </r>
  <r>
    <n v="554"/>
    <s v="0599"/>
    <s v="GUENE"/>
    <d v="2022-10-27T00:00:00"/>
    <x v="10"/>
    <s v="GE0395"/>
    <s v="FR-500-GE-0231-2022"/>
    <m/>
    <s v="Suministro Transformadores de Corriente"/>
    <n v="449226785"/>
    <m/>
    <s v="900-IP-0599-2022"/>
    <s v="IP-"/>
    <n v="202205366"/>
    <n v="449226785"/>
    <s v="N/A"/>
    <s v="N/A"/>
    <s v="N/A"/>
    <x v="2"/>
    <s v="LINA ECHAVARRIA"/>
    <d v="2022-10-27T00:00:00"/>
    <e v="#VALUE!"/>
    <e v="#VALUE!"/>
    <m/>
    <s v="Devuelto"/>
    <x v="2"/>
    <d v="2022-12-14T00:00:00"/>
    <s v="25.11.2022 Se solició al area modificaciones requeridas por el Asesor Franz, a la fecha no las han resuelto"/>
    <d v="2022-12-14T00:00:00"/>
    <x v="5"/>
    <s v="dic"/>
    <n v="48"/>
    <n v="48"/>
    <m/>
    <s v="INVERSION"/>
    <m/>
    <m/>
    <m/>
    <m/>
    <m/>
    <m/>
    <m/>
    <m/>
    <m/>
    <m/>
    <m/>
    <m/>
    <m/>
    <m/>
    <m/>
    <n v="1"/>
    <m/>
    <m/>
  </r>
  <r>
    <n v="555"/>
    <s v="0602"/>
    <s v="GAGHA"/>
    <d v="2022-10-28T00:00:00"/>
    <x v="10"/>
    <s v="GHA0285"/>
    <s v="FR-800-GHA-0201-2022"/>
    <s v="800-AC-2040-2021"/>
    <s v="Suministro de Divisiones Modulares, puestos de trabajo y sillas para amoblar el espacio en la Planta CALLE 13"/>
    <n v="394958715"/>
    <m/>
    <s v="N/A"/>
    <s v=""/>
    <n v="202203918"/>
    <m/>
    <m/>
    <m/>
    <m/>
    <x v="5"/>
    <s v="FRANCIA RAMÍREZ"/>
    <d v="2022-11-11T00:00:00"/>
    <n v="87"/>
    <n v="73"/>
    <m/>
    <s v="Adjudicacion"/>
    <x v="1"/>
    <d v="2022-12-12T00:00:00"/>
    <m/>
    <d v="2022-12-09T00:00:00"/>
    <x v="14"/>
    <s v="Dec"/>
    <n v="42"/>
    <n v="28"/>
    <s v="N/A"/>
    <s v="FUNCIONAMIENTO"/>
    <s v="AC-2040-2021_x000a_800-AO-2433-2022"/>
    <d v="2022-11-29T00:00:00"/>
    <n v="259960578"/>
    <s v="METALICAS JEP SAS "/>
    <s v="AB-2300002959"/>
    <n v="134998137"/>
    <m/>
    <m/>
    <m/>
    <m/>
    <m/>
    <m/>
    <m/>
    <m/>
    <n v="0.34180316036322933"/>
    <n v="0"/>
    <n v="0"/>
    <n v="42"/>
  </r>
  <r>
    <n v="556"/>
    <s v="0603"/>
    <s v="GUENE"/>
    <d v="2022-10-31T00:00:00"/>
    <x v="10"/>
    <s v="GE0233"/>
    <s v="FR-500-GE-0226-2022"/>
    <m/>
    <s v="Suministro de Elementos y Reactivos para Laboratorio"/>
    <n v="21556440"/>
    <m/>
    <s v="900-IP-0603-2022"/>
    <s v="IP-"/>
    <n v="202205431"/>
    <m/>
    <m/>
    <m/>
    <m/>
    <x v="2"/>
    <s v="LINA ECHAVARRIA"/>
    <d v="2022-11-02T00:00:00"/>
    <e v="#VALUE!"/>
    <e v="#VALUE!"/>
    <m/>
    <s v="Cerrado"/>
    <x v="0"/>
    <d v="2022-12-30T00:00:00"/>
    <s v="25.11.2022 Se solició al area modificaciones requeridas por el Asesor Franz, a la fecha no las han resuelto"/>
    <d v="2022-12-30T00:00:00"/>
    <x v="5"/>
    <s v="dic"/>
    <n v="60"/>
    <n v="58"/>
    <m/>
    <s v="FUNCIONAMIENTO"/>
    <m/>
    <m/>
    <m/>
    <m/>
    <m/>
    <m/>
    <m/>
    <m/>
    <m/>
    <m/>
    <m/>
    <m/>
    <m/>
    <m/>
    <m/>
    <n v="1"/>
    <m/>
    <m/>
  </r>
  <r>
    <n v="557"/>
    <s v="0604"/>
    <s v="GTI"/>
    <d v="2022-11-01T00:00:00"/>
    <x v="11"/>
    <s v="GTI0206"/>
    <s v="FR-200-GTI-0138-2022"/>
    <m/>
    <s v="Prestacion de servicio especializado para atencion de solicitudes de servicio, según las practicas o procesos operativos de la metodologia ITIL, considerando el segundo nivel especializado, y tercer nivel de soporte o fabricante para los modulos de SAP S4/Hana"/>
    <n v="467565009"/>
    <m/>
    <s v="900-IP-0604-2022"/>
    <s v="IP-"/>
    <n v="202205833"/>
    <m/>
    <m/>
    <m/>
    <m/>
    <x v="2"/>
    <s v="AYDEE OVALLE"/>
    <d v="2022-11-02T00:00:00"/>
    <n v="83"/>
    <n v="82"/>
    <m/>
    <s v="Entregado al area"/>
    <x v="1"/>
    <d v="2022-12-06T00:00:00"/>
    <m/>
    <d v="2022-12-06T00:00:00"/>
    <x v="14"/>
    <s v="Dec"/>
    <n v="35"/>
    <n v="34"/>
    <s v="G"/>
    <s v="FUNCIONAMIENTO"/>
    <s v="200-AO-2441-2022"/>
    <d v="2022-12-01T00:00:00"/>
    <n v="466562289"/>
    <s v="SOFTIEK RENOVATION SAS"/>
    <s v="AB2300002958"/>
    <n v="1002720"/>
    <m/>
    <m/>
    <m/>
    <m/>
    <m/>
    <m/>
    <m/>
    <m/>
    <n v="2.144557399931525E-3"/>
    <n v="0"/>
    <n v="1"/>
    <n v="25"/>
  </r>
  <r>
    <n v="558"/>
    <s v="0605"/>
    <s v="GTI"/>
    <d v="2022-11-01T00:00:00"/>
    <x v="11"/>
    <s v="GTI0199"/>
    <s v="FR-200-GTI-0117-2022"/>
    <m/>
    <s v="Adquisicion de diademas binaurales y monoaurales para contac center de la gerencia comercial y la gerencia de telecomunicaciones"/>
    <n v="58893695"/>
    <m/>
    <s v="900-IP-0605-2022"/>
    <s v="IP-"/>
    <m/>
    <m/>
    <m/>
    <m/>
    <m/>
    <x v="2"/>
    <s v="JUAN DAVID GOMEZ"/>
    <d v="2022-11-08T00:00:00"/>
    <n v="83"/>
    <n v="76"/>
    <m/>
    <s v="Entregado al area"/>
    <x v="1"/>
    <d v="2022-12-30T00:00:00"/>
    <m/>
    <d v="2022-12-30T00:00:00"/>
    <x v="14"/>
    <s v="Dec"/>
    <n v="59"/>
    <n v="52"/>
    <s v="G"/>
    <m/>
    <s v="200-AO-2516-2022"/>
    <d v="2022-12-29T00:00:00"/>
    <n v="43673000"/>
    <s v="DC TECJNOLOGY SERVICES S.A.S EN REORGANIZACION "/>
    <s v="AB-2300003111"/>
    <n v="15220695"/>
    <m/>
    <m/>
    <m/>
    <m/>
    <m/>
    <m/>
    <m/>
    <m/>
    <n v="0.25844353966922945"/>
    <n v="0"/>
    <n v="1"/>
    <n v="43"/>
  </r>
  <r>
    <n v="559"/>
    <s v="0606"/>
    <s v="GTI"/>
    <d v="2022-11-01T00:00:00"/>
    <x v="11"/>
    <s v="GTI0054_x000a__x000a_GTI0009"/>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606-2022"/>
    <s v="IP-"/>
    <m/>
    <m/>
    <m/>
    <m/>
    <m/>
    <x v="2"/>
    <s v="PAOLA BELTRAN"/>
    <d v="2022-11-11T00:00:00"/>
    <e v="#VALUE!"/>
    <e v="#VALUE!"/>
    <m/>
    <s v="Cerrado"/>
    <x v="0"/>
    <d v="2022-11-30T00:00:00"/>
    <s v="En revisión de Jose Julian de FPA e Invitación desde el 21 de noviembre de 2022."/>
    <d v="2022-11-30T00:00:00"/>
    <x v="5"/>
    <s v="nov"/>
    <n v="29"/>
    <n v="19"/>
    <m/>
    <m/>
    <m/>
    <m/>
    <m/>
    <m/>
    <m/>
    <m/>
    <m/>
    <m/>
    <m/>
    <m/>
    <m/>
    <m/>
    <m/>
    <m/>
    <m/>
    <n v="0"/>
    <m/>
    <m/>
  </r>
  <r>
    <n v="560"/>
    <s v="0607"/>
    <s v="GTI"/>
    <d v="2022-11-03T00:00:00"/>
    <x v="11"/>
    <s v="GTI0209"/>
    <s v="FR-200-GTI-0139-2022"/>
    <m/>
    <s v="Servicio en la nube (SaaS) del software Autocad (Autocad full, Autocad LT)"/>
    <n v="199662655"/>
    <m/>
    <s v="900-IP-0607-2022"/>
    <s v="IP-"/>
    <m/>
    <m/>
    <m/>
    <m/>
    <m/>
    <x v="2"/>
    <s v="JULIO ERNESTO GARCIA"/>
    <d v="2022-11-08T00:00:00"/>
    <n v="81"/>
    <n v="76"/>
    <m/>
    <s v="Entregado al area"/>
    <x v="1"/>
    <d v="2022-12-30T00:00:00"/>
    <s v="Hoy viernes 11 de noviembre presentaban cotizaciones los proveedores pero el GTI amplió el presupuesto y se dio plazo hasta el martes 15 de noviembre para recibir cotizaciones"/>
    <d v="2022-12-30T00:00:00"/>
    <x v="14"/>
    <s v="Dec"/>
    <n v="57"/>
    <n v="52"/>
    <s v="G"/>
    <m/>
    <s v="200-AO-2518-2022"/>
    <d v="2022-12-29T00:00:00"/>
    <n v="199662655"/>
    <s v="MCAD TRAINIG &amp; CONSULTING"/>
    <m/>
    <n v="0"/>
    <m/>
    <m/>
    <m/>
    <m/>
    <m/>
    <m/>
    <m/>
    <m/>
    <n v="0"/>
    <n v="0"/>
    <n v="1"/>
    <n v="41"/>
  </r>
  <r>
    <n v="561"/>
    <s v="0608"/>
    <s v="GTI"/>
    <d v="2022-11-03T00:00:00"/>
    <x v="11"/>
    <s v="GTI0194"/>
    <s v="FR-200-GTI-0112-2022"/>
    <m/>
    <s v="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
    <n v="3082804945"/>
    <m/>
    <s v="900-IPU-0608-2022"/>
    <s v="IPU"/>
    <m/>
    <m/>
    <m/>
    <m/>
    <m/>
    <x v="0"/>
    <s v="AYDEE OVALLE"/>
    <d v="2022-11-08T00:00:00"/>
    <e v="#VALUE!"/>
    <e v="#VALUE!"/>
    <m/>
    <s v="Cerrado"/>
    <x v="0"/>
    <d v="2022-11-24T00:00:00"/>
    <s v="PROCESO CERRADO MEDIANTE ACTA DE CIERRE DEL 24 DE NOVIEMBRE FIRMADA POR GERENTE ABASTECIMIENTO (E)"/>
    <d v="2022-11-24T00:00:00"/>
    <x v="5"/>
    <s v="nov"/>
    <n v="21"/>
    <n v="16"/>
    <m/>
    <m/>
    <m/>
    <m/>
    <m/>
    <m/>
    <m/>
    <m/>
    <m/>
    <m/>
    <m/>
    <m/>
    <m/>
    <m/>
    <m/>
    <m/>
    <m/>
    <n v="0"/>
    <m/>
    <m/>
  </r>
  <r>
    <n v="562"/>
    <s v="0609"/>
    <s v="GUENAA"/>
    <d v="2022-11-03T00:00:00"/>
    <x v="11"/>
    <s v="GAA0803"/>
    <s v="FR-300-GAA-0251-2022"/>
    <m/>
    <s v="Realizar la reparacion, mantenimeinto y puesta en funcionamiento de equipos y componentes criticos en estaciones de bombeo de aguas lluvias y residuales para mitigar riesgos en el servicio de bombeo asociados a la variabilidad climatica "/>
    <n v="500000000"/>
    <m/>
    <s v="900-IP-0609-2022"/>
    <s v="IP-"/>
    <m/>
    <m/>
    <m/>
    <m/>
    <m/>
    <x v="2"/>
    <s v="JHON LARRY CAICEDO"/>
    <d v="2022-11-08T00:00:00"/>
    <e v="#VALUE!"/>
    <e v="#VALUE!"/>
    <m/>
    <s v="Cerrado"/>
    <x v="0"/>
    <d v="2022-12-29T00:00:00"/>
    <s v="PRCESO CERRADO MEDIANTE ACTA DEL 28 DE DICIEMBRE "/>
    <d v="2022-12-30T00:00:00"/>
    <x v="5"/>
    <s v="dic"/>
    <n v="57"/>
    <n v="52"/>
    <m/>
    <m/>
    <m/>
    <m/>
    <m/>
    <m/>
    <m/>
    <m/>
    <m/>
    <m/>
    <m/>
    <m/>
    <m/>
    <m/>
    <m/>
    <m/>
    <m/>
    <n v="1"/>
    <m/>
    <m/>
  </r>
  <r>
    <n v="563"/>
    <s v="0610"/>
    <s v="GUENAA"/>
    <d v="2022-11-03T00:00:00"/>
    <x v="11"/>
    <s v="GAA0239"/>
    <s v="FR-300-GAA-0256-2022"/>
    <s v="300-CMA-1974-2020"/>
    <s v="Suministro de materiales y activos no financieros, para las plantas de potabilizacion de EMCALI E.I.C.E. E.P.S"/>
    <n v="95655069"/>
    <m/>
    <m/>
    <s v=""/>
    <m/>
    <m/>
    <m/>
    <m/>
    <m/>
    <x v="3"/>
    <s v="LUCY ARBELAEZ"/>
    <d v="2022-11-08T00:00:00"/>
    <e v="#VALUE!"/>
    <e v="#VALUE!"/>
    <s v="NO"/>
    <s v="Devuelto"/>
    <x v="2"/>
    <d v="2022-11-15T00:00:00"/>
    <s v="COMITE UNIDAD DE PRODUCCION JUAN PABLO GUTIERREZ LIBERÓ LOS RECURSOS DE ESTE PROCESO, NO HAY DISPONIBILIDAD $$$"/>
    <d v="2022-11-15T00:00:00"/>
    <x v="5"/>
    <s v="nov"/>
    <n v="12"/>
    <n v="7"/>
    <m/>
    <m/>
    <m/>
    <m/>
    <m/>
    <m/>
    <m/>
    <m/>
    <m/>
    <m/>
    <m/>
    <m/>
    <m/>
    <m/>
    <m/>
    <m/>
    <m/>
    <n v="1"/>
    <m/>
    <m/>
  </r>
  <r>
    <n v="564"/>
    <s v="0611"/>
    <s v="GF"/>
    <d v="2022-11-04T00:00:00"/>
    <x v="11"/>
    <s v="GF0086"/>
    <s v="FR-700-GF-0080-2022"/>
    <m/>
    <s v="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
    <n v="3521229000"/>
    <m/>
    <m/>
    <s v=""/>
    <m/>
    <m/>
    <m/>
    <m/>
    <m/>
    <x v="3"/>
    <s v="LEIDY DIANA FRANCO"/>
    <d v="2022-11-09T00:00:00"/>
    <e v="#VALUE!"/>
    <e v="#VALUE!"/>
    <s v="NO"/>
    <s v="Devuelto"/>
    <x v="2"/>
    <m/>
    <m/>
    <d v="2022-11-04T00:00:00"/>
    <x v="5"/>
    <s v="nov"/>
    <n v="0"/>
    <n v="-5"/>
    <m/>
    <m/>
    <m/>
    <m/>
    <m/>
    <m/>
    <m/>
    <m/>
    <m/>
    <m/>
    <m/>
    <m/>
    <m/>
    <m/>
    <m/>
    <m/>
    <m/>
    <n v="0"/>
    <m/>
    <m/>
  </r>
  <r>
    <n v="565"/>
    <s v="0612"/>
    <s v="GUENTIC"/>
    <d v="2022-11-04T00:00:00"/>
    <x v="11"/>
    <s v="GT0235"/>
    <s v="FR-400-GT-0187-2022"/>
    <m/>
    <s v="Compra de equipos terminales (Access Point) para permitir la conectividad de internet a instituciones educativas y demás clientes corporativos que requieran puntos de acceso"/>
    <n v="478845428"/>
    <m/>
    <s v="900-IP-0612 -2022"/>
    <s v="IP-"/>
    <m/>
    <m/>
    <m/>
    <m/>
    <m/>
    <x v="2"/>
    <s v="JULIO ERNESTO GARCIA"/>
    <d v="2022-11-09T00:00:00"/>
    <e v="#VALUE!"/>
    <e v="#VALUE!"/>
    <m/>
    <s v="Devuelto"/>
    <x v="2"/>
    <d v="2022-12-26T00:00:00"/>
    <s v="El martes 15 de noviembre presentan cotizaciones los proveedores_x000a_24-11-2022, EL 17 DE NOVIEMBRE SE PASO PARA REVISION Y FIRMA DE ASESORES GAE._x000a_16-12-2022, esperando respuesta de area desde el 1 de diciembre sobre requisito de idoneidad"/>
    <d v="2022-12-26T00:00:00"/>
    <x v="5"/>
    <s v="dic"/>
    <n v="52"/>
    <n v="47"/>
    <m/>
    <m/>
    <m/>
    <m/>
    <m/>
    <m/>
    <m/>
    <m/>
    <m/>
    <m/>
    <m/>
    <m/>
    <m/>
    <m/>
    <m/>
    <m/>
    <m/>
    <n v="0"/>
    <m/>
    <m/>
  </r>
  <r>
    <n v="566"/>
    <s v="0613"/>
    <s v="GUENTIC"/>
    <d v="2022-11-04T00:00:00"/>
    <x v="11"/>
    <s v="GT0173"/>
    <s v="FR-400-GT-0205-2022"/>
    <m/>
    <s v="Soporte y Mantenimiento de alimentación DC (Potencia) de las UPS´s de San Fernando y Limonar de la UENTIC de EMCALI EICE ESP"/>
    <n v="115852936"/>
    <m/>
    <s v="900-IP-0613-2022"/>
    <s v="IP-"/>
    <m/>
    <m/>
    <m/>
    <m/>
    <m/>
    <x v="2"/>
    <s v="ANA MARIA GIL"/>
    <d v="2022-11-09T00:00:00"/>
    <e v="#VALUE!"/>
    <e v="#VALUE!"/>
    <m/>
    <s v="Cerrado"/>
    <x v="0"/>
    <d v="2022-12-22T00:00:00"/>
    <s v="PROCESO CERRADO MEDIANTE ACTA DE CIERRE DEL 22 DE DICIEMBRE FIRMADA POR GERENTE ABASTECIMIENTO (E)"/>
    <d v="2022-12-22T00:00:00"/>
    <x v="5"/>
    <s v="dic"/>
    <n v="48"/>
    <n v="43"/>
    <m/>
    <m/>
    <m/>
    <m/>
    <m/>
    <m/>
    <m/>
    <m/>
    <m/>
    <m/>
    <m/>
    <m/>
    <m/>
    <m/>
    <m/>
    <m/>
    <m/>
    <n v="0"/>
    <m/>
    <m/>
  </r>
  <r>
    <n v="567"/>
    <s v="0614"/>
    <s v="GUENTIC"/>
    <d v="2022-11-04T00:00:00"/>
    <x v="11"/>
    <s v="GT0138_x000a_GT0138_x000a_GT0201"/>
    <s v="FR-400-GT-0156-2022"/>
    <m/>
    <s v="Dotación de componentes especializados para el mantenimiento de redes de acceso en fibra óptica, para el personal de la GUENTIC"/>
    <n v="346526416"/>
    <m/>
    <s v="900-IP-0614-2022"/>
    <s v="IP-"/>
    <m/>
    <m/>
    <m/>
    <m/>
    <m/>
    <x v="2"/>
    <s v="CARLOS RODRIGUEZ"/>
    <d v="2022-12-16T00:00:00"/>
    <e v="#VALUE!"/>
    <e v="#VALUE!"/>
    <m/>
    <s v="Cerrado"/>
    <x v="0"/>
    <d v="2022-12-30T00:00:00"/>
    <m/>
    <d v="2022-12-30T00:00:00"/>
    <x v="5"/>
    <s v="dic"/>
    <n v="56"/>
    <n v="14"/>
    <m/>
    <m/>
    <m/>
    <m/>
    <m/>
    <m/>
    <m/>
    <m/>
    <m/>
    <m/>
    <m/>
    <m/>
    <m/>
    <m/>
    <m/>
    <m/>
    <m/>
    <n v="0"/>
    <m/>
    <m/>
  </r>
  <r>
    <n v="568"/>
    <s v="0615"/>
    <s v="GUENTIC"/>
    <d v="2022-11-04T00:00:00"/>
    <x v="11"/>
    <s v="GT0143"/>
    <s v="FR-400-GT-0194-2022"/>
    <m/>
    <s v="Suministro de Repuestos e insumos para equipos de climatización de Telecomunicaciones de EMCALI"/>
    <n v="146064884"/>
    <m/>
    <s v="900-IP-0615-2022"/>
    <s v="IP-"/>
    <m/>
    <m/>
    <m/>
    <m/>
    <m/>
    <x v="2"/>
    <s v="CAMILO NUÑEZ"/>
    <d v="2022-11-09T00:00:00"/>
    <e v="#VALUE!"/>
    <e v="#VALUE!"/>
    <m/>
    <s v="Cerrado"/>
    <x v="0"/>
    <d v="2022-12-30T00:00:00"/>
    <s v="24-11-2022, PROCESO EN ELABORACION DE FPA E INVITACION, NO SE PASA AUN A REVISION POR ESPERA DE CDP AJUSTADO A SAP. JESUS PASTRANA SE ENCUENTRA TRAMITANDO ESTE DOCUMENTO_x000a_30-11-2022, PASA AL ASESOR GAE "/>
    <d v="2022-12-30T00:00:00"/>
    <x v="5"/>
    <s v="dic"/>
    <n v="56"/>
    <n v="51"/>
    <m/>
    <m/>
    <m/>
    <m/>
    <m/>
    <m/>
    <m/>
    <m/>
    <m/>
    <m/>
    <m/>
    <m/>
    <m/>
    <m/>
    <m/>
    <m/>
    <m/>
    <n v="0"/>
    <m/>
    <m/>
  </r>
  <r>
    <n v="569"/>
    <s v="0616"/>
    <s v="GUENTIC"/>
    <d v="2022-11-04T00:00:00"/>
    <x v="11"/>
    <s v="GT0252"/>
    <s v="FR-400-GT-0209-2022"/>
    <m/>
    <s v="Suministro, implementacion e instalacion de una solucion WIFI con equipos access point outdoor ruckus, con portal cautivo en nueve pantallas en boulevard del rio cali, lo que permita la conectividad al internet de los usuarios de dicho sitio turistico"/>
    <n v="460000009"/>
    <m/>
    <s v="900-IP-0616-2022"/>
    <s v="IP-"/>
    <m/>
    <m/>
    <m/>
    <m/>
    <m/>
    <x v="2"/>
    <s v="CARLOS RODRIGUEZ"/>
    <d v="2022-12-16T00:00:00"/>
    <e v="#VALUE!"/>
    <e v="#VALUE!"/>
    <m/>
    <s v="Cerrado"/>
    <x v="0"/>
    <d v="2022-12-30T00:00:00"/>
    <m/>
    <d v="2022-12-30T00:00:00"/>
    <x v="5"/>
    <s v="dic"/>
    <n v="56"/>
    <n v="14"/>
    <m/>
    <m/>
    <m/>
    <m/>
    <m/>
    <m/>
    <m/>
    <m/>
    <m/>
    <m/>
    <m/>
    <m/>
    <m/>
    <m/>
    <m/>
    <m/>
    <m/>
    <n v="0"/>
    <m/>
    <m/>
  </r>
  <r>
    <n v="570"/>
    <s v="0617"/>
    <s v="GUENE"/>
    <d v="2022-11-04T00:00:00"/>
    <x v="11"/>
    <s v="GE0375"/>
    <s v="FR-500-GE-0247-2022"/>
    <m/>
    <s v="Calibracion equipo medidor de multiparametros "/>
    <n v="892500"/>
    <m/>
    <s v="900-IP-0617-2022"/>
    <s v="IP-"/>
    <m/>
    <m/>
    <m/>
    <m/>
    <m/>
    <x v="2"/>
    <s v="IVAN ALDANA"/>
    <d v="2022-11-09T00:00:00"/>
    <e v="#VALUE!"/>
    <e v="#VALUE!"/>
    <m/>
    <s v="Cerrado"/>
    <x v="0"/>
    <d v="2022-12-30T00:00:00"/>
    <s v="30-11-2022, SE PIDIO SEGUNDA COTIZACION Y REGISTRAR EN REGISTRO PROVEEDOR."/>
    <d v="2022-12-30T00:00:00"/>
    <x v="5"/>
    <s v="dic"/>
    <n v="56"/>
    <n v="51"/>
    <m/>
    <m/>
    <m/>
    <m/>
    <m/>
    <m/>
    <m/>
    <m/>
    <m/>
    <m/>
    <m/>
    <m/>
    <m/>
    <m/>
    <m/>
    <m/>
    <m/>
    <n v="1"/>
    <m/>
    <m/>
  </r>
  <r>
    <n v="571"/>
    <s v="0618"/>
    <s v="GUENE"/>
    <d v="2022-11-04T00:00:00"/>
    <x v="11"/>
    <s v="GE0187"/>
    <s v="FR-500-GE-0266-2022"/>
    <m/>
    <s v="Prueba de rigidez dielectrica para vehiculo tipo canasta"/>
    <n v="33891200"/>
    <m/>
    <s v="900-IP-0618-2022"/>
    <s v="IP-"/>
    <m/>
    <m/>
    <m/>
    <m/>
    <m/>
    <x v="2"/>
    <s v="MARIA CAMILA OLIVEROS"/>
    <d v="2022-11-09T00:00:00"/>
    <n v="80"/>
    <n v="75"/>
    <m/>
    <s v="Entregado al area"/>
    <x v="1"/>
    <d v="2022-12-30T00:00:00"/>
    <m/>
    <d v="2022-12-30T00:00:00"/>
    <x v="14"/>
    <s v="Dec"/>
    <n v="56"/>
    <n v="51"/>
    <s v="G"/>
    <m/>
    <s v="500-AO-2495-2022"/>
    <d v="2022-12-23T00:00:00"/>
    <n v="33891200"/>
    <s v="EPRING S.A.S"/>
    <s v="AB-2300003092"/>
    <n v="0"/>
    <m/>
    <m/>
    <m/>
    <m/>
    <m/>
    <m/>
    <m/>
    <m/>
    <n v="0"/>
    <n v="1"/>
    <n v="1"/>
    <n v="40"/>
  </r>
  <r>
    <n v="572"/>
    <s v="0619"/>
    <s v="GUENE"/>
    <d v="2022-11-08T00:00:00"/>
    <x v="11"/>
    <s v="GE0215_x000a_GE0222_x000a_GE0229_x000a_GE0312"/>
    <s v="FR-500-GE-0199-2022"/>
    <m/>
    <s v="Suministro de materiales y elementos de proteccion electrica para ser instalados en redes de distribucion "/>
    <n v="126976393"/>
    <m/>
    <s v="900-IP-0619-2022"/>
    <s v="IP-"/>
    <m/>
    <m/>
    <m/>
    <m/>
    <m/>
    <x v="2"/>
    <s v="ANA MARIA GIL"/>
    <d v="2022-11-09T00:00:00"/>
    <n v="76"/>
    <n v="75"/>
    <m/>
    <s v="Entregado al area"/>
    <x v="1"/>
    <d v="2022-12-30T00:00:00"/>
    <m/>
    <d v="2022-12-29T00:00:00"/>
    <x v="14"/>
    <s v="Dec"/>
    <n v="51"/>
    <n v="50"/>
    <s v="G"/>
    <m/>
    <s v="500-AO-2507-2022"/>
    <d v="2022-12-27T00:00:00"/>
    <n v="126965610"/>
    <s v="AGWA S.A.S"/>
    <s v="AB-2300003107"/>
    <n v="10783"/>
    <m/>
    <m/>
    <m/>
    <m/>
    <m/>
    <m/>
    <m/>
    <m/>
    <n v="8.4921297142217606E-5"/>
    <n v="1"/>
    <n v="1"/>
    <n v="37"/>
  </r>
  <r>
    <n v="573"/>
    <s v="0620"/>
    <s v="GUENE"/>
    <d v="2022-11-08T00:00:00"/>
    <x v="11"/>
    <s v="GE0321_x000a_GE0327"/>
    <s v="FR-500-GE-0276-2022"/>
    <m/>
    <s v="Suministro de materiales y elementos de proteccion electrica para ser instalados en redes y subestaciones de energia "/>
    <n v="156215465"/>
    <m/>
    <s v="900-IP-0620-2022"/>
    <s v="IP-"/>
    <m/>
    <m/>
    <m/>
    <m/>
    <m/>
    <x v="2"/>
    <s v="PAOLA BELTRAN"/>
    <d v="2022-11-09T00:00:00"/>
    <n v="76"/>
    <n v="75"/>
    <m/>
    <s v="Entregado al area"/>
    <x v="1"/>
    <d v="2022-12-22T00:00:00"/>
    <s v="Se envío Invitación A ofertar al proveedor el 23 de noviembre de 2022, com plazo de entrega de la oferta el 28 de noviembre de 2022."/>
    <d v="2022-12-22T00:00:00"/>
    <x v="14"/>
    <s v="Dec"/>
    <n v="44"/>
    <n v="43"/>
    <s v="G"/>
    <m/>
    <s v="500-AO-2452-2022"/>
    <d v="2022-12-07T00:00:00"/>
    <n v="154344785"/>
    <s v="METALICAS Y ELECTRICAS MELEC S.A"/>
    <s v="PY-2270000324"/>
    <n v="1870680"/>
    <m/>
    <m/>
    <m/>
    <m/>
    <m/>
    <m/>
    <m/>
    <m/>
    <n v="1.1974998762126401E-2"/>
    <n v="1"/>
    <n v="1"/>
    <n v="32"/>
  </r>
  <r>
    <n v="574"/>
    <s v="0621"/>
    <s v="GUENAA"/>
    <d v="2022-11-08T00:00:00"/>
    <x v="11"/>
    <s v="PRECALIF"/>
    <s v="FR-300-GAA-0259-2022"/>
    <m/>
    <s v="Realizar la conformacion de sectores hidraulicos en la red baja oriental del sis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5"/>
    <s v="0622"/>
    <s v="GUENAA"/>
    <d v="2022-11-08T00:00:00"/>
    <x v="11"/>
    <s v="PRECALIF"/>
    <s v="FR-300-GAA-0258-2022"/>
    <m/>
    <s v="Realizar la interventoria tecnica, administrativa,financiera,contable y juridica del contrato que ejecutara la conformacion de sectores hidraulicos en la red baja oriental del si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6"/>
    <s v="0623"/>
    <s v="GUENAA"/>
    <d v="2022-11-08T00:00:00"/>
    <x v="11"/>
    <s v="PRECALIF"/>
    <s v="FR-300-GAA-0261-2022"/>
    <m/>
    <s v="Optimización de la estacion de bombeo de aguas lluvias paso del comercio- pas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7"/>
    <s v="0624"/>
    <s v="GUENAA"/>
    <d v="2022-11-08T00:00:00"/>
    <x v="11"/>
    <s v="PRECALIF"/>
    <s v="FR-300-GAA-0260-2022"/>
    <m/>
    <s v="Interventoria para el suministro,montaje,instalacion,pruebas,calibracion y puesta en funcionamiento de equipos, elementos y demas infraestructura requerida para la estacion de bombeo de paso del comerci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8"/>
    <s v="0625"/>
    <s v="GUENAA"/>
    <d v="2022-11-08T00:00:00"/>
    <x v="11"/>
    <s v="PRECALIF"/>
    <s v="FR-300-GAA-0262-2022"/>
    <m/>
    <s v="Interventoria construccion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79"/>
    <s v="0626"/>
    <s v="GUENAA"/>
    <d v="2022-11-08T00:00:00"/>
    <x v="11"/>
    <s v="PRECALIF"/>
    <s v="FR-300-GAA-0263-2022"/>
    <m/>
    <s v="Construccion de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m/>
    <m/>
    <m/>
    <m/>
    <m/>
    <m/>
    <m/>
    <m/>
    <m/>
    <m/>
    <m/>
    <m/>
    <m/>
    <m/>
    <m/>
    <m/>
    <m/>
    <n v="1"/>
    <m/>
    <m/>
  </r>
  <r>
    <n v="580"/>
    <s v="0627"/>
    <s v="GAGHA"/>
    <d v="2022-11-11T00:00:00"/>
    <x v="11"/>
    <s v="GHA0078_x000a_GHA0193"/>
    <s v="FR-800-GHA-0202-2022"/>
    <s v="800-CMA-1925-2021"/>
    <s v="Realizar las actividades para llevar a cabo las adecuaciones locativas y mantenimiento preventivos y correctivos en las sedes pertenecientes al corporativo de EMCALI- CAM TORRE EMCALI"/>
    <s v=" $           356.999.000,00"/>
    <m/>
    <s v="N/A"/>
    <s v=""/>
    <m/>
    <m/>
    <m/>
    <m/>
    <m/>
    <x v="3"/>
    <s v="FRANCIA RAMÍREZ"/>
    <d v="2022-11-11T00:00:00"/>
    <e v="#VALUE!"/>
    <e v="#VALUE!"/>
    <m/>
    <s v="Cerrado"/>
    <x v="0"/>
    <d v="2022-12-16T00:00:00"/>
    <s v="ESTA EN EVALUACION DE ITEMS NUEVOS _x000a_16-12-2022-PROCESO CERRADO MEDIANTE ACTA DEL 14 DE DICIEMBRE "/>
    <d v="2022-12-16T00:00:00"/>
    <x v="5"/>
    <s v="dic"/>
    <n v="35"/>
    <n v="35"/>
    <m/>
    <m/>
    <m/>
    <m/>
    <m/>
    <m/>
    <m/>
    <m/>
    <m/>
    <m/>
    <m/>
    <m/>
    <m/>
    <m/>
    <m/>
    <m/>
    <m/>
    <n v="0"/>
    <m/>
    <m/>
  </r>
  <r>
    <n v="581"/>
    <s v="0628"/>
    <s v="GUENTIC"/>
    <d v="2022-11-16T00:00:00"/>
    <x v="11"/>
    <s v="GT0251"/>
    <s v="FR-400-GT-0208-2022"/>
    <m/>
    <s v="Suministro de Terminales Ópticos ONT para la instalación de servicios en los clientes a tráves de la expansión de proyectos de FTTH (fibra hasta la casa) de EMCALI."/>
    <s v=" $       6.770.243.200,00"/>
    <m/>
    <s v="900-IP-0628-2022"/>
    <s v="IP-"/>
    <m/>
    <m/>
    <m/>
    <m/>
    <m/>
    <x v="2"/>
    <s v="JHON LARRY CAICEDO"/>
    <d v="2022-11-16T00:00:00"/>
    <e v="#VALUE!"/>
    <e v="#VALUE!"/>
    <m/>
    <s v="Devuelto"/>
    <x v="2"/>
    <d v="2022-11-30T00:00:00"/>
    <s v="SE DEVUELVE AL AREA PORQUE NO SE PUEDE REALIZAR POR IP Y POR TIEMPO NO SE PUEDE IPU"/>
    <d v="2022-11-30T00:00:00"/>
    <x v="5"/>
    <s v="nov"/>
    <n v="14"/>
    <n v="14"/>
    <m/>
    <m/>
    <m/>
    <m/>
    <m/>
    <m/>
    <m/>
    <m/>
    <m/>
    <m/>
    <m/>
    <m/>
    <m/>
    <m/>
    <m/>
    <m/>
    <m/>
    <n v="0"/>
    <m/>
    <m/>
  </r>
  <r>
    <n v="582"/>
    <s v="0629"/>
    <s v="GUENTIC"/>
    <d v="2022-11-16T00:00:00"/>
    <x v="11"/>
    <s v="GT0134"/>
    <s v="FR-400-GT-0162-2022"/>
    <m/>
    <s v="Suministros Plataforma de Control Softswitch clase 4 y clase 5 y SBC para la GUENTIC"/>
    <s v=" $       1.500.000.000,00"/>
    <m/>
    <m/>
    <s v=""/>
    <m/>
    <m/>
    <m/>
    <m/>
    <m/>
    <x v="3"/>
    <s v="LEIDY DIANA FRANCO"/>
    <d v="2022-11-16T00:00:00"/>
    <e v="#VALUE!"/>
    <e v="#VALUE!"/>
    <m/>
    <s v="Devuelto"/>
    <x v="2"/>
    <d v="2022-11-30T00:00:00"/>
    <m/>
    <d v="2022-11-30T00:00:00"/>
    <x v="5"/>
    <s v="nov"/>
    <n v="14"/>
    <n v="14"/>
    <m/>
    <m/>
    <m/>
    <m/>
    <m/>
    <m/>
    <m/>
    <m/>
    <m/>
    <m/>
    <m/>
    <m/>
    <m/>
    <m/>
    <m/>
    <m/>
    <m/>
    <n v="0"/>
    <m/>
    <m/>
  </r>
  <r>
    <n v="583"/>
    <s v="0630"/>
    <s v="GAGHA"/>
    <d v="2022-11-18T00:00:00"/>
    <x v="11"/>
    <s v="GHA0286"/>
    <s v="FR-800-GHA-0203-2022"/>
    <m/>
    <s v="Realizar la Inspección de ocho (8) ascensores utilizados por EMCALI para el transporte "/>
    <n v="4311570"/>
    <m/>
    <s v="900-IP-0630-2022"/>
    <s v="IP-"/>
    <m/>
    <m/>
    <m/>
    <m/>
    <m/>
    <x v="2"/>
    <s v="JULIO ERAZO"/>
    <d v="2022-11-18T00:00:00"/>
    <n v="66"/>
    <n v="66"/>
    <m/>
    <s v="Entregado al area"/>
    <x v="1"/>
    <d v="2022-12-28T00:00:00"/>
    <m/>
    <d v="2022-12-28T00:00:00"/>
    <x v="14"/>
    <s v="Dec"/>
    <n v="40"/>
    <n v="40"/>
    <s v="G"/>
    <m/>
    <s v="800-AO-2476-2022"/>
    <d v="2022-12-16T00:00:00"/>
    <n v="3891300"/>
    <s v="SERVIMETERS S.A.S"/>
    <s v="PM-2100000111"/>
    <n v="420270"/>
    <m/>
    <m/>
    <m/>
    <m/>
    <m/>
    <m/>
    <m/>
    <m/>
    <n v="9.747493372483805E-2"/>
    <n v="0"/>
    <n v="1"/>
    <n v="28"/>
  </r>
  <r>
    <n v="584"/>
    <s v="0631"/>
    <s v="GUENAA"/>
    <d v="2022-11-21T00:00:00"/>
    <x v="11"/>
    <s v="GAA0808"/>
    <s v="FR-300-GAA-0264-2022"/>
    <m/>
    <s v="Atender y reparar en el menor tiempo posible los daños localizdos y detectados en las redes matrices, con tuberias &gt; a 12 &quot; del sistema de distribucion de acueducto en las areas de cobertura de EMCALI EICE EPS"/>
    <n v="2990000000"/>
    <m/>
    <m/>
    <s v=""/>
    <m/>
    <m/>
    <m/>
    <m/>
    <m/>
    <x v="3"/>
    <s v="HAROLD MONDRAGON"/>
    <d v="2022-11-21T00:00:00"/>
    <e v="#VALUE!"/>
    <e v="#VALUE!"/>
    <m/>
    <s v="ELABORACION OFICIO DEVOLUCION "/>
    <x v="2"/>
    <d v="2022-11-30T00:00:00"/>
    <m/>
    <d v="2022-11-30T00:00:00"/>
    <x v="5"/>
    <s v="nov"/>
    <n v="9"/>
    <n v="9"/>
    <m/>
    <m/>
    <m/>
    <m/>
    <m/>
    <m/>
    <m/>
    <m/>
    <m/>
    <m/>
    <m/>
    <m/>
    <m/>
    <m/>
    <m/>
    <m/>
    <m/>
    <n v="1"/>
    <m/>
    <m/>
  </r>
  <r>
    <n v="585"/>
    <s v="0632"/>
    <s v="GUENAA"/>
    <d v="2022-11-21T00:00:00"/>
    <x v="11"/>
    <s v="GAA0814"/>
    <s v="FR-300-GAA-0265-2022"/>
    <m/>
    <s v="Reparacion losas canal carrera 39 entre calles 12b y 13"/>
    <n v="492050342"/>
    <m/>
    <s v="900-IP-0632-2022"/>
    <s v="IP-"/>
    <m/>
    <m/>
    <m/>
    <m/>
    <m/>
    <x v="2"/>
    <s v="LINA ECHAVARRIA"/>
    <d v="2022-11-21T00:00:00"/>
    <n v="63"/>
    <n v="63"/>
    <m/>
    <s v="Entregado al area"/>
    <x v="1"/>
    <d v="2022-12-22T00:00:00"/>
    <s v="30.11.2022 Se paso FPA e invitación para revision de Sarha"/>
    <d v="2022-12-21T00:00:00"/>
    <x v="14"/>
    <s v="Dec"/>
    <n v="30"/>
    <n v="30"/>
    <s v="G"/>
    <m/>
    <s v="300-AO-2480-2022"/>
    <d v="2022-12-16T00:00:00"/>
    <n v="455773714"/>
    <s v="ALVARO LAZARON DEL VALLE "/>
    <s v="GD2050000208"/>
    <n v="36276628"/>
    <m/>
    <m/>
    <m/>
    <m/>
    <m/>
    <m/>
    <m/>
    <m/>
    <n v="7.3725440068894407E-2"/>
    <n v="1"/>
    <n v="1"/>
    <n v="22"/>
  </r>
  <r>
    <n v="586"/>
    <s v="0633"/>
    <s v="GUENAA"/>
    <d v="2022-11-21T00:00:00"/>
    <x v="11"/>
    <s v="GAA0813"/>
    <s v="FR-300-GAA-0266-2022"/>
    <s v="500-CMA-1743-2021"/>
    <s v="SUMINISTRO CABLES PTAP"/>
    <n v="449808029"/>
    <m/>
    <s v="N/A"/>
    <s v=""/>
    <m/>
    <m/>
    <m/>
    <m/>
    <m/>
    <x v="3"/>
    <s v="ADALBERTO VALENCIA"/>
    <d v="2022-11-21T00:00:00"/>
    <e v="#VALUE!"/>
    <e v="#VALUE!"/>
    <m/>
    <s v="Cerrado"/>
    <x v="0"/>
    <d v="2022-12-23T00:00:00"/>
    <s v="EMCALI a través de la Gerencia de Abastecimiento Empresarial, se permite comunicar el CIERRE del proceso de invitación a presentar descuento derivado del contrato Marco No. 500-CMA-1743-2021/AO-017-2022, conforme a lo establecido en el artículo 42 del Manual de Contratación de EMCALI."/>
    <d v="2022-12-22T00:00:00"/>
    <x v="5"/>
    <s v="dic"/>
    <n v="31"/>
    <n v="31"/>
    <m/>
    <m/>
    <m/>
    <m/>
    <m/>
    <m/>
    <m/>
    <m/>
    <m/>
    <m/>
    <m/>
    <m/>
    <m/>
    <m/>
    <m/>
    <m/>
    <m/>
    <n v="1"/>
    <m/>
    <m/>
  </r>
  <r>
    <n v="587"/>
    <s v="0634"/>
    <s v="GF"/>
    <d v="2022-11-23T00:00:00"/>
    <x v="11"/>
    <s v="GF0086"/>
    <s v="FR-700-080-2022"/>
    <m/>
    <s v="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
    <n v="3521229000"/>
    <m/>
    <m/>
    <s v=""/>
    <m/>
    <m/>
    <m/>
    <m/>
    <m/>
    <x v="3"/>
    <s v="LEIDY DIANA FRANCO"/>
    <d v="2022-11-23T00:00:00"/>
    <e v="#VALUE!"/>
    <e v="#VALUE!"/>
    <m/>
    <s v="Devuelto"/>
    <x v="2"/>
    <d v="2022-11-30T00:00:00"/>
    <s v="SE DEVUELVE AL AREA POR CORREO ELECTRONICO DE SANTIAGO ECHEVERRI INDICANDO QUE POR INSTRUCCIONES DADAS SE REALIZARA CONVENIO INTER ADMINISTRATIVO POR SECRETARIA GENERAL "/>
    <d v="2022-11-30T00:00:00"/>
    <x v="5"/>
    <s v="nov"/>
    <n v="7"/>
    <n v="7"/>
    <m/>
    <m/>
    <m/>
    <m/>
    <m/>
    <m/>
    <m/>
    <m/>
    <m/>
    <m/>
    <m/>
    <m/>
    <m/>
    <m/>
    <m/>
    <m/>
    <m/>
    <n v="0"/>
    <m/>
    <m/>
  </r>
  <r>
    <n v="588"/>
    <s v="0635"/>
    <s v="GAGHA"/>
    <d v="2022-11-25T00:00:00"/>
    <x v="11"/>
    <s v="GHA0288"/>
    <s v="FR-800-GHA-0214-2022"/>
    <m/>
    <s v="Realizar la compra de tres (3) equipos de presión-succión para la Unidad de Recolección de la UENAA"/>
    <n v="10796018522"/>
    <m/>
    <s v="900-IP-0635-2022"/>
    <s v="IP-"/>
    <m/>
    <m/>
    <m/>
    <m/>
    <m/>
    <x v="2"/>
    <s v="PAOLA BELTRAN"/>
    <d v="2022-11-25T00:00:00"/>
    <e v="#VALUE!"/>
    <e v="#VALUE!"/>
    <m/>
    <s v="Devuelto"/>
    <x v="2"/>
    <d v="2022-12-30T00:00:00"/>
    <s v="Se elaboró FPA e INVIACIÓN, pero de acuerdo a instrucciones de jefatura se va a tramitar este año el proceso IP-0640-2022 _x000a_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
    <d v="2022-12-22T00:00:00"/>
    <x v="5"/>
    <s v="dic"/>
    <n v="27"/>
    <n v="27"/>
    <m/>
    <m/>
    <m/>
    <m/>
    <m/>
    <m/>
    <m/>
    <m/>
    <m/>
    <m/>
    <m/>
    <m/>
    <m/>
    <m/>
    <m/>
    <m/>
    <m/>
    <n v="0"/>
    <m/>
    <m/>
  </r>
  <r>
    <n v="589"/>
    <s v="0636"/>
    <s v="GUENE"/>
    <d v="2022-11-23T00:00:00"/>
    <x v="11"/>
    <s v="GE0388"/>
    <s v="FR-500-GE-0254-2022"/>
    <m/>
    <s v="Mantenimiento preventivo a compresores de aire"/>
    <n v="1116220"/>
    <m/>
    <s v="900-IP-0636-2022"/>
    <s v="IP-"/>
    <m/>
    <m/>
    <m/>
    <m/>
    <m/>
    <x v="2"/>
    <s v="CAMILO NUÑEZ"/>
    <d v="2022-11-28T00:00:00"/>
    <e v="#VALUE!"/>
    <e v="#VALUE!"/>
    <m/>
    <s v="Cerrado"/>
    <x v="0"/>
    <d v="2022-12-30T00:00:00"/>
    <m/>
    <d v="2022-12-30T00:00:00"/>
    <x v="5"/>
    <s v="dic"/>
    <n v="37"/>
    <n v="32"/>
    <m/>
    <m/>
    <m/>
    <m/>
    <m/>
    <m/>
    <m/>
    <m/>
    <m/>
    <m/>
    <m/>
    <m/>
    <m/>
    <m/>
    <m/>
    <m/>
    <m/>
    <n v="1"/>
    <m/>
    <m/>
  </r>
  <r>
    <n v="590"/>
    <s v="0637"/>
    <s v="GUENE"/>
    <d v="2022-11-23T00:00:00"/>
    <x v="11"/>
    <s v="GE0387"/>
    <s v="FR-500-GE-0255-2022"/>
    <m/>
    <s v="Mantenimiento preventivo a Balanza Analítica"/>
    <n v="251090"/>
    <m/>
    <s v="900-IP-0637-2022"/>
    <s v="IP-"/>
    <m/>
    <m/>
    <m/>
    <m/>
    <m/>
    <x v="2"/>
    <s v="CAMILO NUÑEZ"/>
    <d v="2022-11-28T00:00:00"/>
    <e v="#VALUE!"/>
    <e v="#VALUE!"/>
    <m/>
    <s v="Cerrado"/>
    <x v="0"/>
    <d v="2022-12-30T00:00:00"/>
    <m/>
    <d v="2022-12-30T00:00:00"/>
    <x v="5"/>
    <s v="dic"/>
    <n v="37"/>
    <n v="32"/>
    <m/>
    <m/>
    <m/>
    <m/>
    <m/>
    <m/>
    <m/>
    <m/>
    <m/>
    <m/>
    <m/>
    <m/>
    <m/>
    <m/>
    <m/>
    <m/>
    <m/>
    <n v="1"/>
    <m/>
    <m/>
  </r>
  <r>
    <n v="591"/>
    <s v="0638"/>
    <s v="GAGHA"/>
    <d v="2022-11-29T00:00:00"/>
    <x v="11"/>
    <s v="GHA0287"/>
    <s v="FR-800-GHA-0199-2022"/>
    <s v="800-CMA-1913-2021"/>
    <s v="Realizar las actividades necesarias para llevar a cabo las adecuaciones locativas y mantenimiento preventivos y correctivos sedes pertenecientes a la GUENTIC. Centrales Telefonicas"/>
    <n v="69932512"/>
    <m/>
    <s v="N/A"/>
    <s v=""/>
    <m/>
    <m/>
    <m/>
    <m/>
    <m/>
    <x v="3"/>
    <s v="FRANCIA RAMÍREZ"/>
    <d v="2022-11-29T00:00:00"/>
    <e v="#VALUE!"/>
    <e v="#VALUE!"/>
    <m/>
    <s v="Cerrado"/>
    <x v="0"/>
    <d v="2022-12-16T00:00:00"/>
    <s v=" Mediante ACTA DE CIERRE, se da por terminado el proceso de invitación, 14/12/2022"/>
    <d v="2022-12-14T00:00:00"/>
    <x v="5"/>
    <s v="dic"/>
    <n v="15"/>
    <n v="15"/>
    <m/>
    <m/>
    <m/>
    <m/>
    <m/>
    <m/>
    <m/>
    <m/>
    <m/>
    <m/>
    <m/>
    <m/>
    <m/>
    <m/>
    <m/>
    <m/>
    <m/>
    <n v="0"/>
    <m/>
    <m/>
  </r>
  <r>
    <n v="592"/>
    <s v="0639"/>
    <s v="GUENE"/>
    <d v="2022-11-30T00:00:00"/>
    <x v="11"/>
    <s v="GE0396"/>
    <s v="FR-500-GE-0279-2022"/>
    <m/>
    <s v="Suministro de las luminarias y proyectores Led para Sistemas de Alumbrado Público      "/>
    <n v="497254424"/>
    <m/>
    <s v="900-IP-0639-2022"/>
    <s v="IP-"/>
    <m/>
    <m/>
    <m/>
    <m/>
    <m/>
    <x v="2"/>
    <s v="PAOLA BELTRAN"/>
    <d v="2022-11-30T00:00:00"/>
    <e v="#VALUE!"/>
    <e v="#VALUE!"/>
    <m/>
    <s v="Cerrado"/>
    <x v="0"/>
    <d v="2022-12-30T00:00:00"/>
    <s v="Cierre de proceso 900-IP-0639-2022  con objeto: Suministro de luminarias y proyectores Led para Sistema de Alumbrado Público.”, mediante acta de cierre de fecha 29 de diciembre de 2022."/>
    <d v="2022-12-29T00:00:00"/>
    <x v="5"/>
    <s v="dic"/>
    <n v="29"/>
    <n v="29"/>
    <m/>
    <m/>
    <m/>
    <m/>
    <m/>
    <m/>
    <m/>
    <m/>
    <m/>
    <m/>
    <m/>
    <m/>
    <m/>
    <m/>
    <m/>
    <m/>
    <m/>
    <n v="1"/>
    <m/>
    <m/>
  </r>
  <r>
    <n v="593"/>
    <s v="0640"/>
    <s v="GAGHA"/>
    <d v="2022-11-30T00:00:00"/>
    <x v="11"/>
    <s v="GHA0290"/>
    <s v="FR-800-GHA-0214-2022"/>
    <m/>
    <s v="Realizar la compra de un (1) equipo de preción-succión para la Unidad de Recolección de la UENAA"/>
    <n v="3824682012"/>
    <m/>
    <s v="900-IP-0640-2022"/>
    <s v="IP-"/>
    <m/>
    <m/>
    <m/>
    <m/>
    <m/>
    <x v="2"/>
    <s v="PAOLA BELTRAN"/>
    <d v="2022-11-30T00:00:00"/>
    <e v="#VALUE!"/>
    <e v="#VALUE!"/>
    <m/>
    <s v="Devuelto"/>
    <x v="2"/>
    <d v="2022-12-30T00:00:00"/>
    <s v=" En revisión FPA e INVITACIÓN por Jose Julian desde el 14 de diciembre de 2022. _x000a_30-12-2022, Se realiza devolución de Requerimiento al área el 22 de diciembre de 2022, Devolución de Requerimiento FR-800-214-2022"/>
    <d v="2022-12-22T00:00:00"/>
    <x v="5"/>
    <s v="dic"/>
    <n v="22"/>
    <n v="22"/>
    <m/>
    <m/>
    <m/>
    <m/>
    <m/>
    <m/>
    <m/>
    <m/>
    <m/>
    <m/>
    <m/>
    <m/>
    <m/>
    <m/>
    <m/>
    <m/>
    <m/>
    <n v="0"/>
    <m/>
    <m/>
  </r>
  <r>
    <n v="594"/>
    <s v="0641"/>
    <s v="GAGHA"/>
    <d v="2022-11-30T00:00:00"/>
    <x v="11"/>
    <s v="GHA0289"/>
    <s v="FR-800-GHA-0214-2022"/>
    <m/>
    <s v="Realizar la compra de un (1) equipo de preción-succión para la Unidad de Recolección de la UENAA"/>
    <n v="3469712628"/>
    <m/>
    <s v="900-IP-0641-2022"/>
    <s v="IP-"/>
    <m/>
    <m/>
    <m/>
    <m/>
    <m/>
    <x v="2"/>
    <s v="PAOLA BELTRAN"/>
    <d v="2022-11-30T00:00:00"/>
    <e v="#VALUE!"/>
    <e v="#VALUE!"/>
    <m/>
    <s v="Devuelto"/>
    <x v="2"/>
    <d v="2022-12-30T00:00:00"/>
    <s v="Se elaboró FPA e INVIACIÓN, pero de acuerdo a instrucciones de jefatura se va a tramitar este año el proceso IP-0640-2022_x000a_30-12-2022 Se realiza devolución de Requerimiento al área el 22 de diciembre de 2022, Devolución de Requerimiento FR-800-214-2022"/>
    <d v="2022-12-22T00:00:00"/>
    <x v="5"/>
    <s v="dic"/>
    <n v="22"/>
    <n v="22"/>
    <m/>
    <m/>
    <m/>
    <m/>
    <m/>
    <m/>
    <m/>
    <m/>
    <m/>
    <m/>
    <m/>
    <m/>
    <m/>
    <m/>
    <m/>
    <m/>
    <m/>
    <n v="0"/>
    <m/>
    <m/>
  </r>
  <r>
    <n v="595"/>
    <s v="0642"/>
    <s v="GAGHA"/>
    <d v="2022-11-30T00:00:00"/>
    <x v="11"/>
    <s v="GHA0037"/>
    <s v="FR-800-GHA-0197-2022"/>
    <m/>
    <s v="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
    <n v="43996960"/>
    <m/>
    <s v="900-IP-0642-2022"/>
    <s v="IP-"/>
    <m/>
    <m/>
    <m/>
    <m/>
    <m/>
    <x v="2"/>
    <s v="ANA MARIA GIL"/>
    <d v="2022-11-30T00:00:00"/>
    <e v="#VALUE!"/>
    <e v="#VALUE!"/>
    <m/>
    <s v="Devuelto"/>
    <x v="2"/>
    <d v="2022-12-30T00:00:00"/>
    <m/>
    <d v="2022-12-30T00:00:00"/>
    <x v="5"/>
    <s v="dic"/>
    <n v="30"/>
    <n v="30"/>
    <m/>
    <m/>
    <m/>
    <m/>
    <m/>
    <m/>
    <m/>
    <m/>
    <m/>
    <m/>
    <m/>
    <m/>
    <m/>
    <m/>
    <m/>
    <m/>
    <m/>
    <n v="0"/>
    <m/>
    <m/>
  </r>
  <r>
    <n v="596"/>
    <s v="0643"/>
    <s v="GTI"/>
    <d v="2022-11-30T00:00:00"/>
    <x v="11"/>
    <s v="GTI0213_x000a_GTI0214"/>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0643-2022"/>
    <s v="IP-"/>
    <m/>
    <m/>
    <m/>
    <m/>
    <m/>
    <x v="2"/>
    <s v="PAOLA BELTRAN"/>
    <d v="2022-11-30T00:00:00"/>
    <n v="54"/>
    <n v="54"/>
    <m/>
    <s v="Entregado al area"/>
    <x v="1"/>
    <d v="2022-12-15T00:00:00"/>
    <m/>
    <d v="2022-12-14T00:00:00"/>
    <x v="14"/>
    <s v="Dec"/>
    <n v="14"/>
    <n v="14"/>
    <s v="G"/>
    <m/>
    <s v="200-AO-2457-2022"/>
    <d v="2022-12-09T00:00:00"/>
    <n v="1296491642"/>
    <s v="SONDA DE COLOMBIA S.A"/>
    <s v="AB230002979"/>
    <n v="200"/>
    <m/>
    <m/>
    <m/>
    <m/>
    <m/>
    <m/>
    <m/>
    <m/>
    <n v="1.5426244386657699E-7"/>
    <n v="0"/>
    <n v="1"/>
    <n v="10"/>
  </r>
  <r>
    <n v="597"/>
    <s v="0644"/>
    <s v="GUENE"/>
    <d v="2022-11-30T00:00:00"/>
    <x v="11"/>
    <s v="GE0260"/>
    <s v="FR-500-GE-0267-2022"/>
    <m/>
    <s v="Prestación de servicios de Silvicultura de árboles sembrados y seguimiento a epifitas vasculares en Subestación Ladera, cementerio La Aurora y predio La Olga"/>
    <n v="10770928"/>
    <m/>
    <s v="900-IP-0644-2022"/>
    <s v="IP-"/>
    <m/>
    <m/>
    <m/>
    <m/>
    <m/>
    <x v="2"/>
    <s v="JULIO ERNESTO GARCIA"/>
    <d v="2022-11-30T00:00:00"/>
    <e v="#VALUE!"/>
    <e v="#VALUE!"/>
    <m/>
    <s v="Devuelto"/>
    <x v="2"/>
    <d v="2022-12-22T00:00:00"/>
    <m/>
    <d v="2022-12-22T00:00:00"/>
    <x v="5"/>
    <s v="dic"/>
    <n v="22"/>
    <n v="22"/>
    <m/>
    <m/>
    <m/>
    <m/>
    <m/>
    <m/>
    <m/>
    <m/>
    <m/>
    <m/>
    <m/>
    <m/>
    <m/>
    <m/>
    <m/>
    <m/>
    <m/>
    <n v="1"/>
    <m/>
    <m/>
  </r>
  <r>
    <n v="598"/>
    <s v="0645"/>
    <s v="GAGHA"/>
    <d v="2022-11-01T00:00:00"/>
    <x v="11"/>
    <s v="GHA0292"/>
    <s v="FR-800-GHA-0185-2022"/>
    <m/>
    <s v="Realizar la compra de jabon liquido espumoso para el lavado de manos"/>
    <n v="200457042"/>
    <m/>
    <s v="900-IP-0645-2022"/>
    <s v="IP-"/>
    <m/>
    <m/>
    <m/>
    <m/>
    <m/>
    <x v="2"/>
    <s v="JHON LARRY CAICEDO"/>
    <d v="2022-12-01T00:00:00"/>
    <e v="#VALUE!"/>
    <e v="#VALUE!"/>
    <m/>
    <s v="Acta de terminacion anticipada por mutuo acuerdo "/>
    <x v="0"/>
    <d v="2022-12-30T00:00:00"/>
    <s v="ACTA DE TERMINACION POR MUTUO ACUERDO FIRMADA EL 29 DE DICIEMBRE DE 2022"/>
    <d v="2022-12-27T00:00:00"/>
    <x v="5"/>
    <s v="dic"/>
    <n v="56"/>
    <n v="26"/>
    <m/>
    <m/>
    <s v="800-AO-2493-2022"/>
    <d v="2022-12-23T00:00:00"/>
    <n v="198973950"/>
    <s v="MASUNION S.A.S"/>
    <s v="AB-2300003091"/>
    <n v="1483092"/>
    <m/>
    <m/>
    <m/>
    <m/>
    <m/>
    <m/>
    <m/>
    <m/>
    <m/>
    <n v="0"/>
    <m/>
    <m/>
  </r>
  <r>
    <n v="599"/>
    <s v="0646"/>
    <s v="GUENAA"/>
    <d v="2022-12-02T00:00:00"/>
    <x v="12"/>
    <s v="GAA0815"/>
    <s v="FR-300-GAA-0269-2022"/>
    <s v="300-CMA-1974-2020"/>
    <s v="Suministro de materiales de ferreteria asociados con la ejecución de acometidas de acueducto afines para EMCALI EICE ESP"/>
    <n v="2071953590"/>
    <m/>
    <s v="N/A"/>
    <s v=""/>
    <m/>
    <m/>
    <m/>
    <m/>
    <m/>
    <x v="1"/>
    <s v="LUCY AYDEE ARBELAEZ"/>
    <d v="2022-12-02T00:00:00"/>
    <n v="52"/>
    <n v="52"/>
    <m/>
    <s v="Entregado al area"/>
    <x v="1"/>
    <d v="2022-12-23T00:00:00"/>
    <m/>
    <d v="2022-12-29T00:00:00"/>
    <x v="14"/>
    <s v="Dec"/>
    <n v="27"/>
    <n v="27"/>
    <s v="N/A"/>
    <m/>
    <s v="CMA-1974-2020300-AO-2500-2022_x000a_CMA-1974-2020-300-AO-2499-2022"/>
    <d v="2022-12-23T00:00:00"/>
    <n v="2006742061"/>
    <s v="EQUIPOS Y HERRAMIENTAS INDUSTRIALES SAS_x000a_ALMACEN RODAFER SAS"/>
    <m/>
    <n v="65211529"/>
    <m/>
    <m/>
    <m/>
    <m/>
    <m/>
    <m/>
    <m/>
    <m/>
    <n v="3.1473450619132835E-2"/>
    <n v="1"/>
    <n v="0"/>
    <n v="27"/>
  </r>
  <r>
    <n v="600"/>
    <s v="0647"/>
    <s v="GTI"/>
    <d v="2022-12-02T00:00:00"/>
    <x v="12"/>
    <m/>
    <s v="FR-200-GTI-0123-2022"/>
    <m/>
    <s v="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
    <n v="2976031062"/>
    <m/>
    <m/>
    <m/>
    <m/>
    <m/>
    <m/>
    <m/>
    <m/>
    <x v="6"/>
    <m/>
    <m/>
    <m/>
    <m/>
    <m/>
    <m/>
    <x v="2"/>
    <m/>
    <m/>
    <m/>
    <x v="5"/>
    <m/>
    <m/>
    <m/>
    <m/>
    <m/>
    <m/>
    <m/>
    <m/>
    <m/>
    <m/>
    <m/>
    <m/>
    <m/>
    <m/>
    <m/>
    <m/>
    <m/>
    <m/>
    <m/>
    <m/>
    <n v="0"/>
    <m/>
    <m/>
  </r>
  <r>
    <n v="601"/>
    <s v="0649"/>
    <s v="GUENE"/>
    <d v="2022-12-06T00:00:00"/>
    <x v="12"/>
    <s v="PRECALIF"/>
    <s v="FR-500-GE-0280-2022"/>
    <m/>
    <s v="Lista de precalificados para el suministro de luminarias y proyectores led para modernizar el sistema de alumbrado publico de santiago de cali "/>
    <n v="0"/>
    <m/>
    <m/>
    <s v=""/>
    <m/>
    <m/>
    <m/>
    <m/>
    <m/>
    <x v="3"/>
    <s v="HAROLD MONDRAGON"/>
    <d v="2022-12-06T00:00:00"/>
    <e v="#VALUE!"/>
    <e v="#VALUE!"/>
    <m/>
    <s v="Cerrado"/>
    <x v="2"/>
    <d v="2022-12-09T00:00:00"/>
    <m/>
    <d v="2022-12-09T00:00:00"/>
    <x v="5"/>
    <s v="dic"/>
    <n v="3"/>
    <n v="3"/>
    <m/>
    <m/>
    <m/>
    <m/>
    <m/>
    <m/>
    <m/>
    <m/>
    <m/>
    <m/>
    <m/>
    <m/>
    <m/>
    <m/>
    <m/>
    <m/>
    <m/>
    <n v="1"/>
    <m/>
    <m/>
  </r>
  <r>
    <n v="602"/>
    <s v="0650"/>
    <s v="GAE"/>
    <d v="2022-12-09T00:00:00"/>
    <x v="12"/>
    <m/>
    <s v="FR-900-GAE-0063-2022"/>
    <m/>
    <s v="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
    <n v="198000000"/>
    <m/>
    <m/>
    <m/>
    <m/>
    <m/>
    <m/>
    <m/>
    <m/>
    <x v="6"/>
    <m/>
    <m/>
    <m/>
    <m/>
    <m/>
    <m/>
    <x v="2"/>
    <m/>
    <m/>
    <m/>
    <x v="5"/>
    <m/>
    <m/>
    <m/>
    <m/>
    <m/>
    <m/>
    <m/>
    <m/>
    <m/>
    <m/>
    <m/>
    <m/>
    <m/>
    <m/>
    <m/>
    <m/>
    <m/>
    <m/>
    <m/>
    <m/>
    <n v="0"/>
    <m/>
    <m/>
  </r>
  <r>
    <n v="603"/>
    <s v="0651"/>
    <s v="GUENTIC"/>
    <d v="2022-12-09T00:00:00"/>
    <x v="12"/>
    <s v="GT0259"/>
    <s v="FR-400-GT-0212-2022"/>
    <m/>
    <s v="Suministro e instalación de un sistema para monitorear variables del suelo y ambientales para cultivos urbanos y rurales, por medio de equipos y nodos sustentables con energías alternativas"/>
    <n v="49405696"/>
    <m/>
    <s v="900-IP-0651-2022"/>
    <s v="IP-"/>
    <m/>
    <m/>
    <m/>
    <m/>
    <m/>
    <x v="2"/>
    <s v="JULIO ERAZO"/>
    <d v="2022-12-12T00:00:00"/>
    <e v="#VALUE!"/>
    <e v="#VALUE!"/>
    <m/>
    <s v="Entregado al area"/>
    <x v="2"/>
    <d v="2022-12-29T00:00:00"/>
    <s v="REVISION FPA E INVITACION Y ESPERA DE CORREPCIÓN FICHA DE REQUERIMIENTO POR PARTE DEL ÁREA"/>
    <d v="2022-12-29T00:00:00"/>
    <x v="5"/>
    <s v="dic"/>
    <n v="20"/>
    <n v="17"/>
    <m/>
    <m/>
    <s v="400-AO-2492-2022"/>
    <d v="2022-12-23T00:00:00"/>
    <n v="49405426"/>
    <s v="DISTRIELECTRICOS MAVI S.A.S"/>
    <s v="PY-2270000352"/>
    <n v="270"/>
    <m/>
    <m/>
    <m/>
    <m/>
    <m/>
    <m/>
    <m/>
    <m/>
    <m/>
    <n v="0"/>
    <m/>
    <m/>
  </r>
  <r>
    <n v="604"/>
    <s v="0652"/>
    <s v="GUENE"/>
    <d v="2022-12-13T00:00:00"/>
    <x v="12"/>
    <s v="N/A"/>
    <s v="FR-500-GE-0281-2022"/>
    <m/>
    <s v="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
    <n v="0"/>
    <m/>
    <m/>
    <s v=""/>
    <m/>
    <m/>
    <m/>
    <m/>
    <m/>
    <x v="3"/>
    <s v="AYDEE OVALLE"/>
    <d v="2022-12-13T00:00:00"/>
    <e v="#VALUE!"/>
    <e v="#VALUE!"/>
    <m/>
    <s v="Revision CC Gae"/>
    <x v="2"/>
    <d v="2023-01-18T00:00:00"/>
    <m/>
    <m/>
    <x v="5"/>
    <s v=""/>
    <n v="-44908"/>
    <n v="-44908"/>
    <m/>
    <m/>
    <m/>
    <m/>
    <m/>
    <m/>
    <m/>
    <m/>
    <m/>
    <m/>
    <m/>
    <m/>
    <m/>
    <m/>
    <m/>
    <m/>
    <m/>
    <n v="1"/>
    <m/>
    <m/>
  </r>
  <r>
    <n v="605"/>
    <s v="0653"/>
    <s v="GUENAA"/>
    <d v="2022-12-14T00:00:00"/>
    <x v="12"/>
    <s v="GAA0817"/>
    <s v="FR-300-GAA-0270-2022"/>
    <s v="300-CMA-1974-2020"/>
    <s v="Suministro de Herramientas para la Unidad de Control Integral de Perdidas de Agua de la GUENAA"/>
    <n v="802858452"/>
    <m/>
    <m/>
    <s v=""/>
    <m/>
    <m/>
    <m/>
    <m/>
    <m/>
    <x v="3"/>
    <s v="LUCY AYDEE ARBELAEZ"/>
    <d v="2022-12-14T00:00:00"/>
    <e v="#VALUE!"/>
    <e v="#VALUE!"/>
    <m/>
    <s v="Entregado al area"/>
    <x v="2"/>
    <d v="2022-12-22T00:00:00"/>
    <m/>
    <d v="2022-12-29T00:00:00"/>
    <x v="5"/>
    <s v="dic"/>
    <n v="15"/>
    <n v="15"/>
    <m/>
    <m/>
    <s v="CMA-1974-2020-300-AO-2513-2022"/>
    <d v="2022-12-28T00:00:00"/>
    <n v="776330557"/>
    <s v="EQUIPOS Y HERRAMIENTAS INDUSTRIALES SAS."/>
    <m/>
    <n v="26527895"/>
    <m/>
    <m/>
    <m/>
    <m/>
    <m/>
    <m/>
    <m/>
    <m/>
    <m/>
    <n v="1"/>
    <m/>
    <m/>
  </r>
  <r>
    <n v="606"/>
    <s v="0654"/>
    <s v="GUENAA"/>
    <d v="2022-12-14T00:00:00"/>
    <x v="12"/>
    <n v="2022"/>
    <s v="FR-300-GAA-0271-2022"/>
    <s v="300-CMA-1974-2020"/>
    <s v="Suministro de Materiales de Ferreteria para la Unidad de Control Integral de Perdidas de Agua de la GUENNA"/>
    <n v="802858452"/>
    <m/>
    <m/>
    <s v=""/>
    <m/>
    <m/>
    <m/>
    <m/>
    <m/>
    <x v="1"/>
    <s v="LUCY AYDEE ARBELAEZ"/>
    <d v="2022-12-14T00:00:00"/>
    <e v="#VALUE!"/>
    <e v="#VALUE!"/>
    <m/>
    <s v="Devuelto"/>
    <x v="1"/>
    <d v="2022-12-22T00:00:00"/>
    <m/>
    <d v="2022-12-28T00:00:00"/>
    <x v="14"/>
    <s v="dic"/>
    <n v="14"/>
    <n v="14"/>
    <m/>
    <m/>
    <n v="1"/>
    <n v="44923"/>
    <n v="776330557"/>
    <s v="EQUIPOS Y HERRAMIENTAS INDUSTRIALES SAS."/>
    <m/>
    <n v="26527895"/>
    <m/>
    <m/>
    <m/>
    <m/>
    <m/>
    <m/>
    <m/>
    <m/>
    <m/>
    <n v="1"/>
    <m/>
    <m/>
  </r>
  <r>
    <n v="607"/>
    <s v="0655"/>
    <s v="GUENE"/>
    <d v="2022-12-20T00:00:00"/>
    <x v="12"/>
    <s v="PRECALIF"/>
    <s v="FR-500-GE-0282-2022"/>
    <m/>
    <s v="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
    <s v="N/A"/>
    <m/>
    <m/>
    <s v=""/>
    <m/>
    <m/>
    <m/>
    <m/>
    <m/>
    <x v="3"/>
    <m/>
    <m/>
    <e v="#VALUE!"/>
    <e v="#VALUE!"/>
    <m/>
    <m/>
    <x v="2"/>
    <m/>
    <m/>
    <m/>
    <x v="5"/>
    <s v=""/>
    <n v="-44915"/>
    <n v="0"/>
    <m/>
    <m/>
    <m/>
    <m/>
    <m/>
    <m/>
    <m/>
    <m/>
    <m/>
    <m/>
    <m/>
    <m/>
    <m/>
    <m/>
    <m/>
    <m/>
    <m/>
    <n v="1"/>
    <m/>
    <m/>
  </r>
  <r>
    <n v="608"/>
    <s v="0656"/>
    <s v="GUENAA"/>
    <d v="2022-12-27T00:00:00"/>
    <x v="12"/>
    <s v="PRECALIF"/>
    <s v="FR-300-GAA-0276-2022"/>
    <m/>
    <s v="Ejecutar las obras para la optimización de las redes de acueducto de los barrios Puerto Mallarino, Simon Bolivar, El Lido, Colseguros y Saavedra Galindo"/>
    <n v="9647132101"/>
    <m/>
    <m/>
    <s v=""/>
    <m/>
    <m/>
    <m/>
    <m/>
    <m/>
    <x v="3"/>
    <s v="HAROLD MONDRAGON"/>
    <m/>
    <e v="#VALUE!"/>
    <e v="#VALUE!"/>
    <m/>
    <s v="Cerrado"/>
    <x v="0"/>
    <m/>
    <m/>
    <m/>
    <x v="5"/>
    <s v=""/>
    <n v="-44922"/>
    <n v="0"/>
    <m/>
    <m/>
    <m/>
    <m/>
    <m/>
    <m/>
    <m/>
    <m/>
    <m/>
    <m/>
    <m/>
    <m/>
    <m/>
    <m/>
    <m/>
    <m/>
    <m/>
    <n v="1"/>
    <m/>
    <m/>
  </r>
  <r>
    <n v="609"/>
    <s v="0657"/>
    <s v="GUENAA"/>
    <d v="2022-12-27T00:00:00"/>
    <x v="12"/>
    <s v="PRECALIF"/>
    <s v="FR-300-GAA-0278-2022"/>
    <m/>
    <s v="Optimización del Funcionamiento hidraulico y estructural de la red secundaria de alcantarillado y la optimización de la red de acueducto en el barrio San Luis en Santiago de Cali"/>
    <n v="20412408515"/>
    <m/>
    <m/>
    <s v=""/>
    <m/>
    <m/>
    <m/>
    <m/>
    <m/>
    <x v="3"/>
    <s v="HAROLD MONDRAGON"/>
    <m/>
    <e v="#VALUE!"/>
    <e v="#VALUE!"/>
    <m/>
    <s v="Cerrado"/>
    <x v="0"/>
    <m/>
    <m/>
    <m/>
    <x v="5"/>
    <s v=""/>
    <n v="-44922"/>
    <n v="0"/>
    <m/>
    <m/>
    <m/>
    <m/>
    <m/>
    <m/>
    <m/>
    <m/>
    <m/>
    <m/>
    <m/>
    <m/>
    <m/>
    <m/>
    <m/>
    <m/>
    <m/>
    <n v="1"/>
    <m/>
    <m/>
  </r>
  <r>
    <n v="610"/>
    <s v="0658"/>
    <s v="GUENAA"/>
    <d v="2022-12-28T00:00:00"/>
    <x v="12"/>
    <s v="PRECALIF"/>
    <s v="FR-300-GAA-0278-2022"/>
    <m/>
    <s v="Optimización del Funcionamiento hidraulico y estructural de la red secundaria de alcantarillado y la optimización de la red de acueducto en el barrio San Luis en Santiago de Cali"/>
    <n v="20412408515"/>
    <m/>
    <m/>
    <s v=""/>
    <m/>
    <m/>
    <m/>
    <m/>
    <m/>
    <x v="0"/>
    <m/>
    <m/>
    <e v="#VALUE!"/>
    <e v="#VALUE!"/>
    <m/>
    <m/>
    <x v="3"/>
    <m/>
    <m/>
    <m/>
    <x v="5"/>
    <s v=""/>
    <n v="-44923"/>
    <n v="0"/>
    <m/>
    <m/>
    <m/>
    <m/>
    <m/>
    <m/>
    <m/>
    <m/>
    <m/>
    <m/>
    <m/>
    <m/>
    <m/>
    <m/>
    <m/>
    <m/>
    <m/>
    <n v="1"/>
    <m/>
    <m/>
  </r>
  <r>
    <n v="611"/>
    <s v="0659"/>
    <s v="GUENAA"/>
    <d v="2022-12-28T00:00:00"/>
    <x v="12"/>
    <s v="PRECALIF"/>
    <s v="FR-300-GAA-0276-2022"/>
    <m/>
    <s v="Ejecutar las obras para la Optimización de las redes de acueducto de los barrios Puerto Mallarino, Simon Bolivar, El Lido, Colseguros y Saavedra Galindo"/>
    <n v="9647132101"/>
    <m/>
    <m/>
    <s v=""/>
    <m/>
    <m/>
    <m/>
    <m/>
    <m/>
    <x v="0"/>
    <m/>
    <m/>
    <e v="#VALUE!"/>
    <e v="#VALUE!"/>
    <m/>
    <m/>
    <x v="3"/>
    <m/>
    <m/>
    <m/>
    <x v="5"/>
    <s v=""/>
    <n v="-44923"/>
    <n v="0"/>
    <m/>
    <m/>
    <m/>
    <m/>
    <m/>
    <m/>
    <m/>
    <m/>
    <m/>
    <m/>
    <m/>
    <m/>
    <m/>
    <m/>
    <m/>
    <m/>
    <m/>
    <n v="1"/>
    <m/>
    <m/>
  </r>
  <r>
    <n v="612"/>
    <s v="0660"/>
    <s v="GUENAA"/>
    <d v="2022-12-29T00:00:00"/>
    <x v="12"/>
    <s v="PRECALIF"/>
    <s v="FR-300-GAA-0277-2022"/>
    <m/>
    <s v="Realizar la Interventoria tecnica, administrativa, financiera y legal del contrato que surja del proceso cuyo objeto es realizar la construcción para la optimización de las redes de acueducto en los barrios Puerto Mallarino, Simon Bolivar, El Lido,  Colseguros, Saavedra Galindo"/>
    <n v="663117980"/>
    <m/>
    <m/>
    <s v=""/>
    <m/>
    <m/>
    <m/>
    <m/>
    <m/>
    <x v="0"/>
    <m/>
    <m/>
    <e v="#VALUE!"/>
    <e v="#VALUE!"/>
    <m/>
    <m/>
    <x v="3"/>
    <m/>
    <m/>
    <m/>
    <x v="5"/>
    <s v=""/>
    <n v="-44924"/>
    <n v="0"/>
    <m/>
    <m/>
    <m/>
    <m/>
    <m/>
    <m/>
    <m/>
    <m/>
    <m/>
    <m/>
    <m/>
    <m/>
    <m/>
    <m/>
    <m/>
    <m/>
    <m/>
    <n v="1"/>
    <m/>
    <m/>
  </r>
  <r>
    <n v="613"/>
    <s v="0661"/>
    <s v="GUENAA"/>
    <d v="2022-12-29T00:00:00"/>
    <x v="12"/>
    <s v="PRECALIF"/>
    <s v="FR-300-GAA-0279-2022"/>
    <m/>
    <s v="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n v="1477364678"/>
    <m/>
    <m/>
    <m/>
    <m/>
    <m/>
    <m/>
    <m/>
    <m/>
    <x v="0"/>
    <m/>
    <m/>
    <e v="#VALUE!"/>
    <e v="#VALUE!"/>
    <m/>
    <m/>
    <x v="3"/>
    <m/>
    <m/>
    <m/>
    <x v="5"/>
    <s v=""/>
    <n v="-44924"/>
    <n v="0"/>
    <m/>
    <m/>
    <m/>
    <m/>
    <m/>
    <m/>
    <m/>
    <m/>
    <m/>
    <m/>
    <m/>
    <m/>
    <m/>
    <m/>
    <m/>
    <m/>
    <m/>
    <n v="1"/>
    <m/>
    <m/>
  </r>
  <r>
    <n v="614"/>
    <s v="0662"/>
    <s v="GUENAA"/>
    <d v="2022-12-29T00:00:00"/>
    <x v="12"/>
    <s v="GAA0811_x000a_GAA0810"/>
    <s v="FR-300-GAA-0250-2022_x000a_FR-300-GAA-0249-2022"/>
    <s v="300-CMA-1242-2020"/>
    <s v="Suministrar Polímero ayudante de floculación para ser utilizado en el tratamiento de las aguas residuales en la PTAR C."/>
    <n v="2054746605"/>
    <m/>
    <s v="N/A"/>
    <m/>
    <s v="AB1120002845"/>
    <m/>
    <m/>
    <m/>
    <m/>
    <x v="1"/>
    <s v="AYDEE OVALLE"/>
    <d v="2022-09-12T00:00:00"/>
    <n v="133"/>
    <n v="133"/>
    <m/>
    <s v="Entregado al area"/>
    <x v="1"/>
    <m/>
    <m/>
    <d v="2022-12-30T00:00:00"/>
    <x v="14"/>
    <s v="Dec"/>
    <n v="109"/>
    <n v="109"/>
    <s v="N/A"/>
    <m/>
    <s v="CMA-1242-2022-300-AO-2497-2022"/>
    <d v="2022-12-23T00:00:00"/>
    <n v="2054746605"/>
    <s v="SNF COLOMBIA S.A.S"/>
    <s v="AB-2300003085"/>
    <n v="0"/>
    <m/>
    <m/>
    <m/>
    <m/>
    <m/>
    <m/>
    <m/>
    <m/>
    <n v="0"/>
    <n v="1"/>
    <n v="0"/>
    <n v="1"/>
  </r>
</pivotCacheRecords>
</file>

<file path=xl/pivotCache/pivotCacheRecords3.xml><?xml version="1.0" encoding="utf-8"?>
<pivotCacheRecords xmlns="http://schemas.openxmlformats.org/spreadsheetml/2006/main" xmlns:r="http://schemas.openxmlformats.org/officeDocument/2006/relationships" count="629">
  <r>
    <n v="1"/>
    <s v="0371"/>
    <s v="GUENT"/>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s v="AYDEE OVALLE"/>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s v=""/>
    <m/>
    <n v="-44385"/>
    <n v="-44392"/>
    <s v="N/A"/>
    <s v="INVERSION"/>
    <m/>
    <m/>
    <m/>
    <m/>
    <m/>
    <m/>
    <m/>
    <m/>
    <s v="N/A"/>
    <s v="N/A"/>
    <m/>
    <m/>
    <m/>
    <m/>
    <n v="0"/>
    <n v="1"/>
    <n v="2"/>
  </r>
  <r>
    <n v="2"/>
    <s v="0513"/>
    <s v="GUENE"/>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s v="HAROLD MONDRAGON"/>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s v="Aug"/>
    <m/>
    <n v="329"/>
    <n v="328"/>
    <s v="N/A"/>
    <s v="INVERSION"/>
    <s v="500-CS-2039-2022"/>
    <d v="2022-07-21T00:00:00"/>
    <n v="215879358926"/>
    <s v="UNION TEMPORAL AMI"/>
    <m/>
    <n v="575661567"/>
    <m/>
    <m/>
    <m/>
    <m/>
    <m/>
    <s v="CALI"/>
    <s v="LOCAL"/>
    <m/>
    <n v="2.6594974128521841E-3"/>
    <n v="1"/>
    <n v="2"/>
  </r>
  <r>
    <n v="3"/>
    <s v="0553"/>
    <s v="GUENE"/>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s v="JUAN PABLO QUIMBAYO"/>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s v="Jan"/>
    <m/>
    <n v="97"/>
    <n v="94"/>
    <s v="N/A"/>
    <s v="FUNCIONAMIENTO"/>
    <s v="500-CO-0590-2022"/>
    <d v="2022-01-14T00:00:00"/>
    <n v="74954422758"/>
    <s v="PROYECTOS DE INGENIERIA SA -PROING SA"/>
    <m/>
    <n v="45577242"/>
    <m/>
    <m/>
    <s v="N/A"/>
    <s v="N/A"/>
    <m/>
    <s v="CALI"/>
    <s v="LOCAL"/>
    <m/>
    <n v="6.0769655999999995E-4"/>
    <n v="1"/>
    <n v="2"/>
  </r>
  <r>
    <n v="4"/>
    <s v="0560"/>
    <s v="GUENE"/>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s v="JUAN PABLO QUIMBAYO"/>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s v="Apr"/>
    <m/>
    <n v="163"/>
    <n v="162"/>
    <s v="N/A"/>
    <s v="INVERSION"/>
    <s v="500-AO-1683-2022"/>
    <d v="2022-04-07T00:00:00"/>
    <n v="23666032488"/>
    <s v="CONSORCIO SB MELENDEZ 115"/>
    <m/>
    <n v="333967512"/>
    <m/>
    <m/>
    <s v="N/A"/>
    <s v="N/A"/>
    <m/>
    <s v="CALI"/>
    <s v="LOCAL"/>
    <m/>
    <n v="1.3915313E-2"/>
    <n v="1"/>
    <n v="2"/>
  </r>
  <r>
    <n v="5"/>
    <s v="0567"/>
    <s v="GUENE"/>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s v="HAROLD MONDRAGON"/>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6-2022"/>
    <d v="2022-03-23T00:00:00"/>
    <n v="12106938145"/>
    <s v="DELTEC SA"/>
    <m/>
    <n v="0"/>
    <m/>
    <m/>
    <s v="N/A"/>
    <s v="N/A"/>
    <m/>
    <s v="CALI"/>
    <s v="LOCAL"/>
    <m/>
    <n v="0"/>
    <n v="1"/>
    <n v="2"/>
  </r>
  <r>
    <n v="6"/>
    <s v="0568"/>
    <s v="GUENE"/>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s v="HAROLD MONDRAGON"/>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s v=""/>
    <m/>
    <n v="-44496"/>
    <n v="-44497"/>
    <s v="N/A"/>
    <s v="FUNCIONAMIENTO"/>
    <m/>
    <m/>
    <m/>
    <m/>
    <m/>
    <m/>
    <m/>
    <m/>
    <m/>
    <m/>
    <m/>
    <m/>
    <m/>
    <m/>
    <n v="0"/>
    <n v="1"/>
    <n v="2"/>
  </r>
  <r>
    <n v="7"/>
    <s v="0569"/>
    <s v="GUENE"/>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s v="HAROLD MONDRAGON"/>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s v="Apr"/>
    <m/>
    <n v="173"/>
    <n v="172"/>
    <s v="N/A"/>
    <s v="FUNCIONAMIENTO"/>
    <s v="500-CO-1887-2022"/>
    <d v="2022-03-23T00:00:00"/>
    <n v="4898840314"/>
    <s v="DELTEC SA"/>
    <m/>
    <n v="0"/>
    <m/>
    <m/>
    <s v="N/A"/>
    <s v="N/A"/>
    <m/>
    <s v="CALI"/>
    <s v="LOCAL"/>
    <m/>
    <n v="0"/>
    <n v="1"/>
    <n v="2"/>
  </r>
  <r>
    <n v="8"/>
    <s v="0590"/>
    <s v="GUENAA"/>
    <d v="2021-11-08T00:00:00"/>
    <x v="0"/>
    <s v="GAA1312"/>
    <s v="FR-300-GAA-0258-2021"/>
    <s v="N/A"/>
    <s v="Rehabilitar los componentes priorizados de las estructuras de Captación y Pretratamiento de la PTAP Río Cali."/>
    <n v="936000000"/>
    <s v="365 dias"/>
    <s v="900-IPU-0556-2021"/>
    <m/>
    <s v="N/A"/>
    <s v="N/A"/>
    <s v="108-202100108"/>
    <m/>
    <s v="Mayor cuantia"/>
    <x v="0"/>
    <s v="PABLO CAICEDO"/>
    <d v="2021-11-09T00:00:00"/>
    <e v="#VALUE!"/>
    <e v="#VALUE!"/>
    <s v="NO"/>
    <s v="Cerrado"/>
    <x v="0"/>
    <s v="30 de diciembre se publico_x000a_21 de enero se encuentra suspendido a la espera del tramite de la vigencia futura y presupuesto"/>
    <m/>
    <m/>
    <s v=""/>
    <m/>
    <n v="-44508"/>
    <n v="-44509"/>
    <s v="N/A"/>
    <s v="INVERSION"/>
    <m/>
    <m/>
    <m/>
    <m/>
    <m/>
    <m/>
    <m/>
    <m/>
    <m/>
    <m/>
    <m/>
    <m/>
    <m/>
    <m/>
    <n v="0"/>
    <n v="1"/>
    <n v="2"/>
  </r>
  <r>
    <n v="9"/>
    <s v="0618"/>
    <s v="GUENAA"/>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s v="VIAGNERY LOPEZ"/>
    <d v="2021-11-22T00:00:00"/>
    <e v="#VALUE!"/>
    <e v="#VALUE!"/>
    <s v="NO"/>
    <s v="Devuelto"/>
    <x v="2"/>
    <s v="1 DE DICIEMBRE ESPERANDO INFORMACION DEL AREA"/>
    <m/>
    <d v="2022-01-14T00:00:00"/>
    <s v="ene"/>
    <m/>
    <n v="57"/>
    <n v="53"/>
    <s v="N/A"/>
    <s v="INVERSION"/>
    <m/>
    <m/>
    <m/>
    <m/>
    <m/>
    <m/>
    <m/>
    <m/>
    <m/>
    <m/>
    <m/>
    <m/>
    <m/>
    <m/>
    <n v="0"/>
    <n v="1"/>
    <n v="2"/>
  </r>
  <r>
    <n v="10"/>
    <s v="0619"/>
    <s v="GUENAA"/>
    <d v="2021-11-18T00:00:00"/>
    <x v="0"/>
    <s v="N/A"/>
    <s v="FR-300-GAA-0265-2021"/>
    <s v="N/A"/>
    <s v="Optimización de la estación de bombeo de aguas lluvias paso del comercio - paso iv."/>
    <n v="72536381728"/>
    <s v="23 MESES"/>
    <s v="900-IPU-0584-2021"/>
    <m/>
    <s v="N/A"/>
    <n v="0"/>
    <n v="202100042"/>
    <n v="72536381728"/>
    <s v="Mayor cuantia"/>
    <x v="0"/>
    <s v="VIAGNERY LOPEZ"/>
    <d v="2021-11-22T00:00:00"/>
    <e v="#VALUE!"/>
    <e v="#VALUE!"/>
    <s v="NO"/>
    <s v="Devuelto"/>
    <x v="2"/>
    <s v="1 DE DICIEMBRE ESPERANDO INFORMACION DEL AREA_x000a_SE DEVUELVE PORQUE ES NECESARIO TENER VIGENCIA EXCEPCIONALES"/>
    <m/>
    <d v="2022-01-14T00:00:00"/>
    <s v="ene"/>
    <m/>
    <n v="57"/>
    <n v="53"/>
    <s v="N/A"/>
    <s v="INVERSION"/>
    <m/>
    <m/>
    <m/>
    <m/>
    <m/>
    <m/>
    <m/>
    <m/>
    <m/>
    <m/>
    <m/>
    <m/>
    <m/>
    <m/>
    <n v="0"/>
    <n v="1"/>
    <n v="2"/>
  </r>
  <r>
    <n v="11"/>
    <s v="0636"/>
    <s v="GUENE"/>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s v="ESTEFANIA SANCHEZ"/>
    <d v="2021-11-29T00:00:00"/>
    <e v="#VALUE!"/>
    <e v="#VALUE!"/>
    <s v="NO "/>
    <s v="Devuelto"/>
    <x v="2"/>
    <s v="21 DE ENERO SE TOMA LA DECSION DE DEVOLVERLO PORQUE NO LLEGO EL CDP"/>
    <m/>
    <m/>
    <s v=""/>
    <m/>
    <n v="-44530"/>
    <n v="-44529"/>
    <s v="N/A"/>
    <s v="INVERSION"/>
    <m/>
    <m/>
    <m/>
    <m/>
    <m/>
    <m/>
    <m/>
    <m/>
    <m/>
    <m/>
    <m/>
    <m/>
    <m/>
    <m/>
    <n v="0"/>
    <n v="1"/>
    <n v="0"/>
  </r>
  <r>
    <n v="12"/>
    <s v="0637"/>
    <s v="GUENE"/>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s v="ESTEFANIA SANCHEZ"/>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s v=""/>
    <m/>
    <n v="-44530"/>
    <n v="-44529"/>
    <s v="N/A"/>
    <s v="INVERSION"/>
    <m/>
    <m/>
    <m/>
    <m/>
    <m/>
    <m/>
    <m/>
    <m/>
    <m/>
    <m/>
    <m/>
    <m/>
    <m/>
    <m/>
    <n v="0"/>
    <n v="1"/>
    <n v="0"/>
  </r>
  <r>
    <n v="13"/>
    <s v="0648"/>
    <s v="GUENAA"/>
    <d v="2021-12-13T00:00:00"/>
    <x v="0"/>
    <s v="GAA1321"/>
    <s v="FR-300-GAA-0271-2021"/>
    <s v="N/A"/>
    <s v="Obras civiles y mecánicas para construcción muro de concreto y optimización descarga estación de bombeo Guaduales."/>
    <n v="4543796519"/>
    <m/>
    <s v="N/A"/>
    <m/>
    <m/>
    <m/>
    <s v="108-202100058_x000a_EXCEPCIONAL"/>
    <m/>
    <s v="N/A"/>
    <x v="2"/>
    <s v="VIAGNERY LOPEZ"/>
    <d v="2022-01-04T00:00:00"/>
    <e v="#VALUE!"/>
    <e v="#VALUE!"/>
    <s v="NO"/>
    <s v="Devuelto"/>
    <x v="2"/>
    <m/>
    <m/>
    <d v="2022-01-14T00:00:00"/>
    <s v="ene"/>
    <m/>
    <n v="32"/>
    <n v="10"/>
    <s v="C"/>
    <s v="INVERSION"/>
    <m/>
    <m/>
    <m/>
    <m/>
    <m/>
    <m/>
    <m/>
    <m/>
    <m/>
    <m/>
    <m/>
    <m/>
    <m/>
    <m/>
    <n v="0"/>
    <n v="1"/>
    <n v="1"/>
  </r>
  <r>
    <n v="14"/>
    <s v="0649"/>
    <s v="GUENAA"/>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s v="VIAGNERY LOPEZ"/>
    <m/>
    <e v="#VALUE!"/>
    <e v="#VALUE!"/>
    <s v=" NO"/>
    <s v="Devuelto"/>
    <x v="2"/>
    <m/>
    <m/>
    <d v="2022-01-14T00:00:00"/>
    <s v="ene"/>
    <m/>
    <n v="32"/>
    <n v="44575"/>
    <s v="C"/>
    <s v="INVERSION"/>
    <m/>
    <m/>
    <m/>
    <m/>
    <m/>
    <m/>
    <m/>
    <m/>
    <s v="N/A"/>
    <s v="N/A"/>
    <m/>
    <m/>
    <m/>
    <m/>
    <n v="0"/>
    <n v="1"/>
    <n v="1"/>
  </r>
  <r>
    <n v="15"/>
    <s v="0653"/>
    <s v="GUENAA"/>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s v="AYDEE OVALLE"/>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s v="Apr"/>
    <m/>
    <n v="149"/>
    <n v="149"/>
    <s v="N/A"/>
    <s v="FUNCIONAMIENTO"/>
    <s v="300-CMA-1892-2022"/>
    <n v="44650"/>
    <s v="INDETERMINADO"/>
    <s v="CALES DE COLOMBIA SA"/>
    <m/>
    <n v="0"/>
    <m/>
    <m/>
    <s v="N/A"/>
    <s v="N/A"/>
    <m/>
    <s v="MEDELLIN"/>
    <s v="NACIONAL"/>
    <m/>
    <n v="0"/>
    <n v="1"/>
    <n v="2"/>
  </r>
  <r>
    <n v="1"/>
    <s v="0001"/>
    <s v="GUENT"/>
    <d v="2021-12-10T00:00:00"/>
    <x v="1"/>
    <s v="GT0148"/>
    <s v="FR-400-GT-0003-2022"/>
    <s v="N/A"/>
    <s v="Prestación de servicios de licenciamiento de software de las suites cpanel"/>
    <n v="16911804"/>
    <s v="30 dias"/>
    <s v="900-IP-0054-2022"/>
    <m/>
    <s v="PENDIENTE"/>
    <m/>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s v="Jan"/>
    <m/>
    <n v="49"/>
    <n v="25"/>
    <s v="G"/>
    <s v="FUNCIONAMIENTO"/>
    <s v="400-AO-1045-2022"/>
    <d v="2022-01-24T00:00:00"/>
    <n v="16911804"/>
    <s v="SOLUCIONES DE TELECOMUNICACIONES Y COMPUTO SAS"/>
    <m/>
    <n v="0"/>
    <m/>
    <m/>
    <s v="N/A"/>
    <s v="N/A"/>
    <m/>
    <s v="CALI"/>
    <s v="LOCAL"/>
    <m/>
    <n v="0"/>
    <n v="1"/>
    <n v="1"/>
  </r>
  <r>
    <n v="2"/>
    <s v="0002"/>
    <s v="GUENT"/>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s v="ADALBERTO VALENCIA"/>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s v="Jan"/>
    <m/>
    <n v="74"/>
    <n v="50"/>
    <s v="G"/>
    <s v="FUNCIONAMIENTO"/>
    <s v="400-AO-1313-2022"/>
    <d v="2022-01-26T00:00:00"/>
    <n v="48391479"/>
    <s v="INGENIERIA DE SISTEMAS TELEMATICOS SA"/>
    <m/>
    <n v="292740"/>
    <m/>
    <m/>
    <s v="N/A"/>
    <s v="N/A"/>
    <m/>
    <s v="CALI"/>
    <s v="LOCAL"/>
    <m/>
    <n v="6.013036791244407E-3"/>
    <n v="1"/>
    <n v="1"/>
  </r>
  <r>
    <n v="3"/>
    <s v="0003"/>
    <s v="GUENT"/>
    <d v="2021-12-10T00:00:00"/>
    <x v="1"/>
    <s v="GT0166"/>
    <s v="FR-400-GT-0005-2022"/>
    <s v="N/A"/>
    <s v="Soporte técnico, actualización y mantenimiento plataforma de Gestión de Redes de acceso WIFI"/>
    <n v="24347400"/>
    <s v="11 meses"/>
    <s v="900-IP-0056-2022"/>
    <m/>
    <n v="202201976"/>
    <n v="34396662"/>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s v="Jan"/>
    <m/>
    <n v="54"/>
    <n v="30"/>
    <s v="G"/>
    <s v="FUNCIONAMIENTO"/>
    <s v="400-AO-1044-2022"/>
    <d v="2022-01-24T00:00:00"/>
    <n v="19347400"/>
    <s v="SOLUCIONES DE TECNOLOGIA DE INGENIERIA SAS"/>
    <m/>
    <n v="5000000"/>
    <m/>
    <m/>
    <s v="N/A"/>
    <s v="N/A"/>
    <m/>
    <s v="CALI"/>
    <s v="LOCAL"/>
    <m/>
    <n v="0.20536073667003457"/>
    <n v="1"/>
    <n v="1"/>
  </r>
  <r>
    <n v="4"/>
    <s v="0004"/>
    <s v="GUENTIC"/>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s v="ANA MARIA GIL"/>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m/>
    <s v="ene"/>
    <n v="47"/>
    <n v="23"/>
    <m/>
    <s v="FUNCIONAMIENTO"/>
    <m/>
    <m/>
    <m/>
    <m/>
    <m/>
    <n v="121973133"/>
    <m/>
    <m/>
    <m/>
    <m/>
    <m/>
    <m/>
    <m/>
    <m/>
    <m/>
    <n v="0"/>
    <m/>
  </r>
  <r>
    <n v="5"/>
    <s v="0005"/>
    <s v="GUENT"/>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s v="ANA MARIA GIL"/>
    <d v="2022-01-03T00:00:00"/>
    <m/>
    <m/>
    <m/>
    <s v="Entregado al area"/>
    <x v="1"/>
    <s v="21 DE ENERO PARA FIRMA DE JEFE JORGE DE LA FPA E INVITACION_x000a_24 de enero evaluando y esperando subsanables_x000a_26 de enero en evaluacion_x000a_28 de enero solicitud de registro y polizas"/>
    <m/>
    <d v="2022-02-08T00:00:00"/>
    <s v="Jan"/>
    <m/>
    <n v="56"/>
    <n v="36"/>
    <s v="G"/>
    <s v="FUNCIONAMIENTO"/>
    <s v="400-AO-1366-2022"/>
    <d v="2022-01-27T00:00:00"/>
    <n v="193347661"/>
    <s v="MATRIX TELECOM LTDA"/>
    <m/>
    <n v="2419"/>
    <m/>
    <m/>
    <s v="2021-363"/>
    <d v="2021-01-07T00:00:00"/>
    <m/>
    <s v="BOGOTA"/>
    <s v="NACIONAL"/>
    <m/>
    <n v="1.2510985255346158E-5"/>
    <n v="1"/>
    <n v="1"/>
  </r>
  <r>
    <n v="6"/>
    <s v="0006"/>
    <s v="GUENT"/>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s v="ESTEFANIA SANCHEZ"/>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s v="Jan"/>
    <m/>
    <n v="26"/>
    <n v="26"/>
    <s v="G"/>
    <s v="FUNCIONAMIENTO"/>
    <s v="400-AO-1469-2022"/>
    <d v="2022-01-28T00:00:00"/>
    <n v="220952060"/>
    <s v="IMEVALLE SAS"/>
    <m/>
    <n v="3027055"/>
    <m/>
    <m/>
    <s v="N/A"/>
    <s v="N/A"/>
    <m/>
    <s v="YUMBO"/>
    <s v="MUNICIPAL"/>
    <m/>
    <n v="1.3514898476136938E-2"/>
    <n v="1"/>
    <n v="1"/>
  </r>
  <r>
    <n v="7"/>
    <s v="0007"/>
    <s v="GUENT"/>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s v="ESTEFANIA SANCHEZ"/>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s v="Jan"/>
    <m/>
    <n v="26"/>
    <n v="26"/>
    <s v="G"/>
    <s v="INVERSION"/>
    <s v="400-AO-1567-2022"/>
    <d v="2022-01-28T00:00:00"/>
    <n v="35070202"/>
    <s v="DISTRIELECTRICOS MAVI SAS"/>
    <m/>
    <n v="1929798"/>
    <m/>
    <m/>
    <s v="N/A"/>
    <s v="N/A"/>
    <m/>
    <s v="SANTANDER DE QUILICHAO"/>
    <s v="MUNICIPAL"/>
    <m/>
    <n v="5.2156702702702701E-2"/>
    <n v="1"/>
    <n v="1"/>
  </r>
  <r>
    <n v="8"/>
    <s v="0008"/>
    <s v="GUENTIC"/>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s v="ANA MARIA GIL"/>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m/>
    <s v="ene"/>
    <n v="6"/>
    <n v="6"/>
    <m/>
    <s v="FUNCIONAMIENTO"/>
    <m/>
    <m/>
    <m/>
    <m/>
    <m/>
    <n v="143761000"/>
    <m/>
    <m/>
    <m/>
    <m/>
    <m/>
    <m/>
    <m/>
    <m/>
    <m/>
    <n v="0"/>
    <m/>
  </r>
  <r>
    <n v="9"/>
    <s v="0009"/>
    <s v="GUENAA"/>
    <d v="2021-12-29T00:00:00"/>
    <x v="1"/>
    <s v="GAA0555"/>
    <s v="FR-300-GAA-0001-2022"/>
    <s v="N/A"/>
    <s v="Servicios de mantenimiento preventivo y correctivo de equipos menores."/>
    <n v="96889800"/>
    <s v="60 dias"/>
    <s v="900-IP-0101-2021"/>
    <m/>
    <s v="PENDIENTE"/>
    <m/>
    <s v="N/A"/>
    <s v="N/A"/>
    <m/>
    <x v="2"/>
    <s v="PAOLA BELTRAN"/>
    <d v="2022-01-03T00:00:00"/>
    <m/>
    <m/>
    <m/>
    <s v="Entregado al area"/>
    <x v="1"/>
    <s v="21 DE ENNERO EN REVISION DE INVITACION Y FP_x000a_24 de enero  se reciben la oferta el 25 de enero_x000a_26 DE ENERO EN APROBACION DE POLIZAS"/>
    <m/>
    <d v="2022-01-28T00:00:00"/>
    <s v="Jan"/>
    <m/>
    <n v="30"/>
    <n v="25"/>
    <s v="G"/>
    <s v="FUNCIONAMIENTO"/>
    <s v="300-AO-1043-2022"/>
    <d v="2022-01-25T00:00:00"/>
    <n v="96889800"/>
    <s v="TALLERES BRIG LTDA"/>
    <m/>
    <n v="0"/>
    <m/>
    <m/>
    <s v="N/A"/>
    <s v="N/A"/>
    <m/>
    <s v="CALI"/>
    <s v="LOCAL"/>
    <m/>
    <n v="0"/>
    <n v="1"/>
    <n v="1"/>
  </r>
  <r>
    <n v="10"/>
    <s v="0010"/>
    <s v="GUENAA"/>
    <d v="2021-12-30T00:00:00"/>
    <x v="1"/>
    <s v="GAA0556"/>
    <s v="FR-300-GAA-0002-2022"/>
    <s v="N/A"/>
    <s v="Prestar el servicio de transporte para apoyar la supervisión del contrato de obra_x000a_No 300-CO-1437-2018"/>
    <n v="148818450"/>
    <s v="8 meses"/>
    <s v="900-IP-0068-2022"/>
    <m/>
    <s v="PENDIENTE"/>
    <m/>
    <s v="N/A"/>
    <s v="N/A"/>
    <m/>
    <x v="2"/>
    <s v="PAOLA BELTRAN"/>
    <d v="2022-01-03T00:00:00"/>
    <m/>
    <m/>
    <m/>
    <s v="Entregado al area"/>
    <x v="1"/>
    <s v="21 DE ENERO EN COTIZACIONES_x000a_24 de enero  se reciben la oferta el 25 de enero_x000a_26 DE ENERO EN REVISION DE LA EVALUACION_x000a_28 DE ENERO EN RP Y POLIZAS"/>
    <m/>
    <d v="2022-02-28T00:00:00"/>
    <s v="Jan"/>
    <m/>
    <n v="60"/>
    <n v="56"/>
    <s v="G"/>
    <s v="INVERSION"/>
    <s v="300-AO-1325-2022"/>
    <d v="2022-01-27T00:00:00"/>
    <n v="124137000"/>
    <s v="FERNANCO CAIDEDO SUAREZ"/>
    <m/>
    <n v="24681450"/>
    <m/>
    <m/>
    <s v="N/A"/>
    <s v="N/A"/>
    <m/>
    <s v="CALI"/>
    <s v="LOCAL"/>
    <m/>
    <n v="0.16584939568984894"/>
    <n v="1"/>
    <n v="1"/>
  </r>
  <r>
    <n v="11"/>
    <s v="0011"/>
    <s v="GAE"/>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s v="ESTEFANIA SANCHEZ"/>
    <d v="2022-01-03T00:00:00"/>
    <m/>
    <m/>
    <m/>
    <s v="Entregado al area"/>
    <x v="1"/>
    <s v="21 DE ENERO ESPERANDO MODIFICACION DEL CDP PARA CONTINUAR_x000a_26 DE ENERO PARA LA FIRMA DE LA ACEPTACION DE LA OFERTA_x000a_28 de enero ensolicitud de polizar y rp"/>
    <m/>
    <d v="2022-02-15T00:00:00"/>
    <s v="Jan"/>
    <m/>
    <n v="47"/>
    <n v="43"/>
    <s v="G"/>
    <s v="FUNCIONAMIENTO"/>
    <s v="900-AO-1314-2022"/>
    <d v="2022-01-27T00:00:00"/>
    <n v="39612720"/>
    <s v="INFORMA COLOMBIA SA"/>
    <m/>
    <n v="1387280"/>
    <m/>
    <m/>
    <s v="N/A"/>
    <s v="N/A"/>
    <m/>
    <s v="BOGOTA "/>
    <s v="NACIONAL"/>
    <m/>
    <n v="3.3836097560975609E-2"/>
    <n v="0"/>
    <n v="1"/>
  </r>
  <r>
    <n v="12"/>
    <s v="0012"/>
    <s v="GAGHA"/>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s v="LEIDY FRANCO"/>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s v="Jan"/>
    <m/>
    <n v="34"/>
    <n v="30"/>
    <s v="G"/>
    <s v="FUNCIONAMIENTO"/>
    <s v="800-AO-1312-2022"/>
    <d v="2022-01-27T00:00:00"/>
    <n v="11200000"/>
    <s v="MONICA ALAJENADRA LOZANO"/>
    <m/>
    <n v="0"/>
    <m/>
    <m/>
    <s v="N/A"/>
    <s v="N/A"/>
    <m/>
    <s v="CALI"/>
    <s v="LOCAL"/>
    <m/>
    <n v="0"/>
    <n v="0"/>
    <n v="1"/>
  </r>
  <r>
    <n v="13"/>
    <s v="0013"/>
    <s v="GAGHA"/>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s v="LEIDY DIANA FRANCO"/>
    <d v="2022-01-03T00:00:00"/>
    <e v="#VALUE!"/>
    <e v="#VALUE!"/>
    <s v="NO"/>
    <s v="Cerrado"/>
    <x v="0"/>
    <m/>
    <s v="21  enero en revision de la invitacion _x000a_24 DE ENERO EN RECEPCION DE OFERTAS_x000a_26 DE ENERO EN REVISION DE LA EVALUACION_x000a_28 de enero se cerro por solicitud del area"/>
    <d v="2022-01-28T00:00:00"/>
    <m/>
    <s v="ene"/>
    <n v="29"/>
    <n v="25"/>
    <s v="G"/>
    <s v="FUNCIONAMIENTO"/>
    <m/>
    <m/>
    <m/>
    <m/>
    <m/>
    <m/>
    <n v="349318315"/>
    <m/>
    <m/>
    <m/>
    <m/>
    <m/>
    <m/>
    <m/>
    <m/>
    <n v="0"/>
    <m/>
  </r>
  <r>
    <n v="14"/>
    <s v="0014"/>
    <s v="GAGHA"/>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s v="LEIDY FRANCO"/>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s v="Jan"/>
    <m/>
    <n v="35"/>
    <n v="30"/>
    <s v="G"/>
    <s v="FUNCIONAMIENTO"/>
    <s v="800-AO-1345-2022"/>
    <d v="2022-01-27T00:00:00"/>
    <n v="247069000"/>
    <s v="SPECTRA INGENIERIA SAS"/>
    <m/>
    <n v="0"/>
    <m/>
    <m/>
    <s v="N/A"/>
    <s v="N/A"/>
    <m/>
    <s v="CALI"/>
    <s v="LOCAL"/>
    <m/>
    <n v="0"/>
    <n v="0"/>
    <n v="1"/>
  </r>
  <r>
    <n v="15"/>
    <s v="0015"/>
    <s v="GAGHA"/>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s v="LEIDY FRANCO"/>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s v="Jan"/>
    <m/>
    <n v="33"/>
    <n v="15"/>
    <s v="G"/>
    <s v="FUNCIONAMIENTO"/>
    <s v="800-AO-1344-2022"/>
    <d v="2022-01-27T00:00:00"/>
    <n v="46725000"/>
    <s v="ZAGAMOTOS DEL PACIFICO SAS"/>
    <m/>
    <n v="0"/>
    <m/>
    <m/>
    <s v="N/A"/>
    <s v="N/A"/>
    <m/>
    <s v="CALI"/>
    <s v="LOCAL"/>
    <m/>
    <n v="0"/>
    <n v="0"/>
    <n v="1"/>
  </r>
  <r>
    <n v="16"/>
    <s v="0016"/>
    <s v="GTI"/>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s v="CRISTHIAN BURBANO"/>
    <d v="2022-01-04T00:00:00"/>
    <e v="#VALUE!"/>
    <e v="#VALUE!"/>
    <s v="NO"/>
    <s v="Devuelto"/>
    <x v="2"/>
    <m/>
    <s v="SE DEVUELVEN PORQUE NO SE RECIBIO CDP POR PARTE DEL AREA"/>
    <d v="2022-01-28T00:00:00"/>
    <m/>
    <s v="ene"/>
    <n v="25"/>
    <n v="24"/>
    <s v="G"/>
    <s v="FUNCIONAMIENTO"/>
    <m/>
    <m/>
    <m/>
    <m/>
    <m/>
    <n v="320000000"/>
    <m/>
    <m/>
    <m/>
    <m/>
    <m/>
    <m/>
    <m/>
    <m/>
    <m/>
    <n v="0"/>
    <m/>
  </r>
  <r>
    <n v="17"/>
    <s v="0017"/>
    <s v="GTI"/>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s v="CRISTHIAN BURBANO"/>
    <d v="2022-01-04T00:00:00"/>
    <e v="#VALUE!"/>
    <e v="#VALUE!"/>
    <s v="NO"/>
    <s v="Devuelto"/>
    <x v="2"/>
    <m/>
    <s v="SE DEVUELVEN PORQUE NO SE RECIBIO CDP POR PARTE DEL AREA"/>
    <d v="2022-01-28T00:00:00"/>
    <m/>
    <s v="ene"/>
    <n v="25"/>
    <n v="24"/>
    <s v="G"/>
    <s v="FUNCIONAMIENTO"/>
    <m/>
    <m/>
    <m/>
    <m/>
    <m/>
    <n v="287471000"/>
    <m/>
    <m/>
    <m/>
    <m/>
    <m/>
    <m/>
    <m/>
    <m/>
    <m/>
    <n v="0"/>
    <m/>
  </r>
  <r>
    <n v="18"/>
    <s v="0018"/>
    <s v="GTI"/>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s v="PABLO CAICEDO"/>
    <d v="2022-01-06T00:00:00"/>
    <e v="#VALUE!"/>
    <e v="#VALUE!"/>
    <s v="NO"/>
    <s v="Devuelto"/>
    <x v="2"/>
    <m/>
    <s v="DEVUELTO PORQUE NO TENIAN CDP"/>
    <d v="2022-01-17T00:00:00"/>
    <m/>
    <s v="ene"/>
    <n v="14"/>
    <n v="11"/>
    <s v="G"/>
    <s v="FUNCIONAMIENTO"/>
    <m/>
    <m/>
    <m/>
    <m/>
    <m/>
    <n v="350000000"/>
    <m/>
    <m/>
    <m/>
    <m/>
    <m/>
    <m/>
    <m/>
    <m/>
    <m/>
    <n v="0"/>
    <m/>
  </r>
  <r>
    <n v="19"/>
    <s v="0019"/>
    <s v="GTI"/>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s v="CRISTHIAN BURBANO"/>
    <d v="2022-01-06T00:00:00"/>
    <e v="#VALUE!"/>
    <e v="#VALUE!"/>
    <s v="NO"/>
    <s v="Devuelto"/>
    <x v="2"/>
    <m/>
    <s v="SE DVUELVE PORQUE NO TENIA CDP"/>
    <d v="2022-01-17T00:00:00"/>
    <m/>
    <s v="ene"/>
    <n v="14"/>
    <n v="11"/>
    <s v="G"/>
    <s v="FUNCIONAMIENTO"/>
    <m/>
    <m/>
    <m/>
    <m/>
    <m/>
    <n v="349698036"/>
    <m/>
    <m/>
    <m/>
    <m/>
    <m/>
    <m/>
    <m/>
    <m/>
    <m/>
    <n v="0"/>
    <m/>
  </r>
  <r>
    <n v="20"/>
    <s v="0020"/>
    <s v="GTI"/>
    <d v="2022-01-03T00:00:00"/>
    <x v="1"/>
    <s v="GTI0002"/>
    <s v="FR-200-GTI-0008-2022"/>
    <s v="N/A"/>
    <s v="Adquirir renovación plataforma Proxi y Filtrado de Contenido."/>
    <n v="214140187"/>
    <m/>
    <m/>
    <s v=""/>
    <s v="PENDIENTE"/>
    <m/>
    <s v="N/A"/>
    <s v="N/A"/>
    <s v="N/A"/>
    <x v="3"/>
    <s v="PABLO CAICEDO"/>
    <d v="2021-01-06T00:00:00"/>
    <e v="#VALUE!"/>
    <e v="#VALUE!"/>
    <s v="NO"/>
    <s v="Devuelto"/>
    <x v="2"/>
    <m/>
    <s v="Se devuelve porque no tenian CDP"/>
    <d v="2022-01-17T00:00:00"/>
    <m/>
    <s v="ene"/>
    <n v="14"/>
    <n v="376"/>
    <s v="G"/>
    <s v="FUNCIONAMIENTO"/>
    <m/>
    <m/>
    <m/>
    <m/>
    <m/>
    <n v="214140187"/>
    <m/>
    <m/>
    <m/>
    <m/>
    <m/>
    <m/>
    <m/>
    <m/>
    <m/>
    <n v="0"/>
    <m/>
  </r>
  <r>
    <n v="21"/>
    <s v="0021"/>
    <s v="GTI"/>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s v="PABLO CAICEDO"/>
    <d v="2022-01-06T00:00:00"/>
    <e v="#VALUE!"/>
    <e v="#VALUE!"/>
    <s v="NO"/>
    <s v="Devuelto"/>
    <x v="2"/>
    <m/>
    <s v="SE DEVUELVE PORQUE NO TENIA CDP"/>
    <d v="2022-01-17T00:00:00"/>
    <m/>
    <s v="ene"/>
    <n v="14"/>
    <n v="11"/>
    <s v="G"/>
    <s v="FUNCIONAMIENTO"/>
    <m/>
    <m/>
    <m/>
    <m/>
    <m/>
    <n v="443076766"/>
    <m/>
    <m/>
    <m/>
    <m/>
    <m/>
    <m/>
    <m/>
    <m/>
    <m/>
    <n v="0"/>
    <m/>
  </r>
  <r>
    <n v="22"/>
    <s v="0022"/>
    <s v="GTI"/>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s v="PABLO CAICEDO"/>
    <d v="2022-01-06T00:00:00"/>
    <e v="#VALUE!"/>
    <e v="#VALUE!"/>
    <s v="NO"/>
    <s v="Devuelto"/>
    <x v="2"/>
    <m/>
    <s v="SE DEVUELVE PROQUE LO DEBE CONTRATAR LA MISMA AREA"/>
    <d v="2022-01-04T00:00:00"/>
    <m/>
    <s v="ene"/>
    <n v="1"/>
    <n v="-2"/>
    <s v="G"/>
    <s v="FUNCIONAMIENTO"/>
    <m/>
    <m/>
    <m/>
    <m/>
    <m/>
    <n v="114000000"/>
    <m/>
    <m/>
    <m/>
    <m/>
    <m/>
    <m/>
    <m/>
    <m/>
    <m/>
    <n v="0"/>
    <m/>
  </r>
  <r>
    <n v="23"/>
    <s v="0023"/>
    <s v="GAGHA"/>
    <d v="2022-01-03T00:00:00"/>
    <x v="1"/>
    <s v="GHA0044"/>
    <s v="FR-800-GAGHA-0081-2022"/>
    <s v="N/A"/>
    <s v="Realizar el mantenimiento y reparación de 49 vallas adscritas a la Unidad de Seguridad Fisica y Electrónica."/>
    <n v="8300012"/>
    <s v="31 DE DICIEMBRE 2022"/>
    <s v="900-IP-0071-2021"/>
    <m/>
    <n v="20220919"/>
    <n v="333219580"/>
    <s v="N/A"/>
    <s v="N/A"/>
    <m/>
    <x v="2"/>
    <s v="MARIO AREVALO"/>
    <d v="2022-01-12T00:00:00"/>
    <m/>
    <m/>
    <m/>
    <s v="Entregado al area"/>
    <x v="1"/>
    <s v="12 DE ENERO LLEGARON LOS _x000a_21 DE ENERO EN REVISION DE LA FPA E INVITACION_x000a_24 DE ENERO EN RECEPCION DE OFERTAS_x000a_26 DE ENERO EN REVISION DE LA EVALUACION_x000a_28 DE ENERO EN RP Y POLIZAS"/>
    <m/>
    <d v="2022-02-07T00:00:00"/>
    <s v="Jan"/>
    <m/>
    <n v="35"/>
    <n v="26"/>
    <s v="G"/>
    <s v="FUNCIONAMIENTO"/>
    <s v="800-AO-1342-2022"/>
    <d v="2022-01-26T00:00:00"/>
    <n v="8300012"/>
    <s v="LILI JOHANA SERNA MACHADO"/>
    <m/>
    <n v="0"/>
    <m/>
    <m/>
    <s v="N/A"/>
    <s v="N/A"/>
    <m/>
    <s v="CALI"/>
    <s v="LOCAL"/>
    <m/>
    <n v="0"/>
    <n v="0"/>
    <n v="1"/>
  </r>
  <r>
    <n v="24"/>
    <s v="0024"/>
    <s v="GAGHA"/>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s v="MARIO AREVALO"/>
    <d v="2022-01-12T00:00:00"/>
    <m/>
    <m/>
    <m/>
    <s v="Entregado al area"/>
    <x v="1"/>
    <s v="21 DE ENERO EN REVISION DE LA FPA E INVITACION_x000a_24 DE ENERO EN RECEPCION DE OFERTAS_x000a_28 DE ENERO EN RP Y POLIZAS"/>
    <m/>
    <d v="2022-02-15T00:00:00"/>
    <s v="Jan"/>
    <m/>
    <n v="43"/>
    <n v="34"/>
    <s v="G"/>
    <s v="FUNCIONAMIENTO"/>
    <s v="800-AO-1338-2022"/>
    <d v="2022-01-27T00:00:00"/>
    <n v="32870684"/>
    <s v="IDENTIFICACION DE COLOMBIA SAS"/>
    <m/>
    <n v="176073"/>
    <m/>
    <m/>
    <s v="N/A"/>
    <s v="N/A"/>
    <m/>
    <s v="CALI"/>
    <s v="LOCAL"/>
    <m/>
    <n v="5.3279963295641986E-3"/>
    <n v="0"/>
    <n v="1"/>
  </r>
  <r>
    <n v="25"/>
    <s v="0025"/>
    <s v="GAGHA"/>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s v="CRISTHIAN BURBANO"/>
    <d v="2022-01-05T00:00:00"/>
    <m/>
    <m/>
    <m/>
    <s v="Entregado al area"/>
    <x v="1"/>
    <s v="24 DE ENERO EN APROBACION DE POLIZAS_x000a_26 DE ENERO CONTRATADO_x000a_"/>
    <m/>
    <d v="2022-01-28T00:00:00"/>
    <s v="Jan"/>
    <m/>
    <n v="23"/>
    <n v="23"/>
    <s v="G"/>
    <s v="FUNCIONAMIENTO"/>
    <s v="800-AO-0231-2022"/>
    <d v="2022-01-07T00:00:00"/>
    <n v="11795189"/>
    <s v="CARVAJAL TECNOLOGIA  Y SERVICIO SAS"/>
    <m/>
    <n v="46811"/>
    <m/>
    <m/>
    <s v="N/A"/>
    <s v="N/A"/>
    <m/>
    <s v="CALI"/>
    <s v="LOCAL"/>
    <m/>
    <n v="3.952964026346901E-3"/>
    <n v="0"/>
    <n v="1"/>
  </r>
  <r>
    <n v="26"/>
    <s v="0026"/>
    <s v="GUENE"/>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s v="PAOLA BELTRAN"/>
    <d v="2021-01-06T00:00:00"/>
    <m/>
    <m/>
    <m/>
    <s v="Entregado al area"/>
    <x v="1"/>
    <s v="21 DE ENERO EN COTIZACIONES_x000a_24 de enero en solicitud de polizas y rp_x000a_26 DE ENERO EN APROBACION DE POLIZAS_x000a_28 DE ENRO EN APROBACION DE POLIZAS"/>
    <m/>
    <d v="2022-01-28T00:00:00"/>
    <s v="Jan"/>
    <m/>
    <n v="22"/>
    <n v="387"/>
    <s v="G"/>
    <s v="FUNCIONAMIENTO"/>
    <s v="500-AO-0976-2022"/>
    <d v="2022-01-21T00:00:00"/>
    <n v="36212000"/>
    <s v="NUEVO DIARIO DE OCCIDENTE SAS"/>
    <m/>
    <n v="840900"/>
    <m/>
    <m/>
    <s v="N/A"/>
    <s v="N/A"/>
    <m/>
    <s v="CALI"/>
    <s v="LOCAL"/>
    <m/>
    <n v="2.2694579911423936E-2"/>
    <n v="1"/>
    <n v="1"/>
  </r>
  <r>
    <n v="27"/>
    <s v="0027"/>
    <s v="GAGHA"/>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s v="MARIO AREVALO"/>
    <d v="2022-01-11T00:00:00"/>
    <e v="#VALUE!"/>
    <e v="#VALUE!"/>
    <s v="NO"/>
    <s v="Devuelto"/>
    <x v="2"/>
    <m/>
    <s v="21 DE ENERO EN REVISION DE LA FPA E INVITACION_x000a_24 DE ENERO EN RECEPCION DE OFERTAS_x000a_26 DE ENERO  DEVUELTO POR SOLICITUD DEL GERENTE"/>
    <d v="2022-01-26T00:00:00"/>
    <m/>
    <s v="ene"/>
    <n v="19"/>
    <n v="15"/>
    <s v="G"/>
    <s v="FUNCIONAMIENTO"/>
    <m/>
    <m/>
    <m/>
    <m/>
    <m/>
    <n v="162036036"/>
    <m/>
    <m/>
    <m/>
    <m/>
    <m/>
    <m/>
    <m/>
    <m/>
    <m/>
    <n v="0"/>
    <m/>
  </r>
  <r>
    <n v="28"/>
    <s v="0028"/>
    <s v="GAGHA"/>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s v="Jan"/>
    <m/>
    <n v="27"/>
    <n v="20"/>
    <s v="G"/>
    <s v="FUNCIONAMIENTO"/>
    <s v="800-AO-1377-2022"/>
    <d v="2022-01-27T00:00:00"/>
    <n v="197542274"/>
    <s v="COMPAÑÍA PARA LA CONSTRUCCION ESTUFDIOS TECNICOS MAQUINARIA Y MANTENIMIENTO PARA LA INGENIERIA  ARQUITECTURA Y OBRAS CIVILES SAS"/>
    <m/>
    <n v="0"/>
    <m/>
    <m/>
    <s v="2021-380"/>
    <d v="2022-01-21T00:00:00"/>
    <m/>
    <s v="CALI"/>
    <s v="LOCAL"/>
    <m/>
    <n v="0"/>
    <n v="0"/>
    <n v="1"/>
  </r>
  <r>
    <n v="29"/>
    <s v="0029"/>
    <s v="GAGHA"/>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s v="Jan"/>
    <m/>
    <n v="25"/>
    <n v="18"/>
    <s v="G"/>
    <s v="FUNCIONAMIENTO"/>
    <s v="800-AO-1378-2022"/>
    <d v="2022-01-27T00:00:00"/>
    <n v="122910984"/>
    <s v="VULCANIZADORA DE LA CRUZ"/>
    <m/>
    <n v="0"/>
    <m/>
    <m/>
    <s v="N/A"/>
    <s v="N/A"/>
    <m/>
    <s v="CALI"/>
    <s v="LOCAL"/>
    <m/>
    <n v="0"/>
    <n v="0"/>
    <n v="1"/>
  </r>
  <r>
    <n v="30"/>
    <s v="0030"/>
    <s v="GAGHA"/>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s v="LINA ECHAVARRIA"/>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s v="Jan"/>
    <m/>
    <n v="32"/>
    <n v="20"/>
    <s v="C"/>
    <s v="FUNCIONAMIENTO"/>
    <s v="800-AO-1478-2022"/>
    <d v="2022-01-28T00:00:00"/>
    <n v="258750040"/>
    <s v="CENTRO AUTOMOTRIZ DE REPARACION  Y SERVICIOS LTDA  CARS LTDA"/>
    <m/>
    <n v="0"/>
    <m/>
    <m/>
    <s v="2021-369"/>
    <d v="2021-12-14T00:00:00"/>
    <m/>
    <s v="CALI"/>
    <s v="LOCAL"/>
    <m/>
    <n v="0"/>
    <n v="0"/>
    <n v="1"/>
  </r>
  <r>
    <n v="31"/>
    <s v="0031"/>
    <s v="GAGHA"/>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s v="FRANCIA RAMÍREZ"/>
    <d v="2022-01-11T00:00:00"/>
    <m/>
    <m/>
    <m/>
    <s v="Entregado al area"/>
    <x v="1"/>
    <s v="21 DE ENERO EN REVISION DE LA INVITACION"/>
    <m/>
    <d v="2022-02-16T00:00:00"/>
    <s v="Feb"/>
    <m/>
    <n v="40"/>
    <n v="36"/>
    <s v="N/A"/>
    <s v="FUNCIONAMIENTO"/>
    <s v="800-CMA-1925-2021/800-AO-1670-2022"/>
    <d v="2022-02-08T00:00:00"/>
    <n v="150971296"/>
    <s v="CONSORCIO DOMAQ 2021"/>
    <m/>
    <n v="7945858"/>
    <m/>
    <m/>
    <s v="N/A"/>
    <s v="N/A"/>
    <m/>
    <s v="CALI"/>
    <s v="LOCAL"/>
    <m/>
    <n v="5.000000188777607E-2"/>
    <n v="0"/>
    <n v="0"/>
  </r>
  <r>
    <n v="32"/>
    <s v="0032"/>
    <s v="GAGHA"/>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s v="FRANCIA RAMÍREZ"/>
    <d v="2022-01-11T00:00:00"/>
    <m/>
    <m/>
    <m/>
    <s v="Entregado al area"/>
    <x v="1"/>
    <s v="21 DE ENERO EN REVISION DE LA INVITACION"/>
    <m/>
    <d v="2022-02-22T00:00:00"/>
    <s v="Feb"/>
    <m/>
    <n v="46"/>
    <n v="42"/>
    <s v="N/A"/>
    <s v="FUNCIONAMIENTO"/>
    <s v="800-CMA-1914-2021/800-AO-1667-2022"/>
    <d v="2022-02-08T00:00:00"/>
    <n v="187090041"/>
    <s v="UNION TEMPORAL M&amp;C2021"/>
    <m/>
    <n v="9846845"/>
    <m/>
    <m/>
    <s v="N/A"/>
    <s v="N/A"/>
    <m/>
    <s v="CALI"/>
    <s v="LOCAL"/>
    <m/>
    <n v="5.0000003554438247E-2"/>
    <n v="0"/>
    <n v="0"/>
  </r>
  <r>
    <n v="33"/>
    <s v="0033"/>
    <s v="GAGHA"/>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s v="FRANCIA RAMÍREZ"/>
    <d v="2022-01-11T00:00:00"/>
    <m/>
    <m/>
    <m/>
    <s v="Entregado al area"/>
    <x v="1"/>
    <s v="21 DE ENERO ESPERANDO LA MODIFICACION DEL FORMULARIO DE PRECIOS Y CANTIDADES"/>
    <m/>
    <d v="2022-02-18T00:00:00"/>
    <s v="Feb"/>
    <m/>
    <n v="42"/>
    <n v="38"/>
    <s v="N/A"/>
    <s v="FUNCIONAMIENTO"/>
    <s v="800-CMA-1916-2021/800-AO-1669-2022"/>
    <d v="2022-02-08T00:00:00"/>
    <n v="296008394"/>
    <s v="CONSORCIO IGS 2021"/>
    <m/>
    <n v="15579389"/>
    <m/>
    <m/>
    <s v="N/A"/>
    <s v="N/A"/>
    <m/>
    <s v="CALI"/>
    <s v="LOCAL"/>
    <m/>
    <n v="4.9999999518594733E-2"/>
    <n v="0"/>
    <n v="0"/>
  </r>
  <r>
    <n v="34"/>
    <s v="0034"/>
    <s v="GAGHA"/>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s v="FRANCIA RAMÍREZ"/>
    <d v="2022-01-11T00:00:00"/>
    <m/>
    <m/>
    <m/>
    <s v="Entregado al area"/>
    <x v="1"/>
    <s v="21 DE ENERO ESPERANDO LA MODIFICACION DEL FORMULARIO DE PRECIOS Y CANTIDADES"/>
    <m/>
    <d v="2022-02-25T00:00:00"/>
    <s v="Feb"/>
    <m/>
    <n v="49"/>
    <n v="45"/>
    <s v="N/A"/>
    <s v="FUNCIONAMIENTO"/>
    <s v="800-CMA-1913-2021/800-AO-1666-2022"/>
    <d v="2022-02-08T00:00:00"/>
    <n v="418913098"/>
    <s v="GUSTAVO ADOLFO TORRES DUARTE"/>
    <m/>
    <n v="22048057"/>
    <m/>
    <m/>
    <s v="N/A"/>
    <s v="N/A"/>
    <m/>
    <s v="BOGOTA"/>
    <s v="NACIONAL"/>
    <m/>
    <n v="4.9999998299169915E-2"/>
    <n v="0"/>
    <n v="0"/>
  </r>
  <r>
    <n v="35"/>
    <s v="0035"/>
    <s v="GAGHA"/>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s v="FRANCIA RAMÍREZ"/>
    <d v="2022-01-11T00:00:00"/>
    <m/>
    <m/>
    <m/>
    <s v="Entregado al area"/>
    <x v="1"/>
    <s v="21 DE ENERO ESPERANDO LA MODIFICACION DEL FORMULARIO DE PRECIOS Y CANTIDADES"/>
    <m/>
    <d v="2022-02-16T00:00:00"/>
    <s v="Feb"/>
    <m/>
    <n v="40"/>
    <n v="36"/>
    <s v="N/A"/>
    <s v="FUNCIONAMIENTO"/>
    <s v="800-CMA-1914-2021/800-AO-1668-2022"/>
    <d v="2022-02-08T00:00:00"/>
    <n v="434290090"/>
    <s v="UNION TEMPORAL  M&amp;C2021"/>
    <m/>
    <n v="22857373"/>
    <m/>
    <m/>
    <s v="N/A"/>
    <s v="N/A"/>
    <m/>
    <s v="CALI"/>
    <s v="LOCAL"/>
    <m/>
    <n v="4.9999999671878306E-2"/>
    <n v="0"/>
    <n v="0"/>
  </r>
  <r>
    <n v="36"/>
    <s v="0036"/>
    <s v="GUENAA"/>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s v="LUCY ARBELAEZ"/>
    <d v="2022-01-13T00:00:00"/>
    <m/>
    <m/>
    <m/>
    <s v="Entregado al area"/>
    <x v="1"/>
    <m/>
    <m/>
    <d v="2022-02-16T00:00:00"/>
    <s v="Feb"/>
    <m/>
    <n v="34"/>
    <n v="34"/>
    <s v="N/A"/>
    <s v="OPERACIÓN"/>
    <s v="300-CMA-1714-2019/300-AO-1042-2022"/>
    <d v="2022-01-25T00:00:00"/>
    <n v="328131896"/>
    <s v="CALES DE COLOMBIA SA"/>
    <m/>
    <n v="17908607"/>
    <m/>
    <m/>
    <s v="N/A"/>
    <s v="N/A"/>
    <m/>
    <s v="MEDELLIN"/>
    <s v="NACIONAL"/>
    <m/>
    <n v="5.1752921535893157E-2"/>
    <n v="1"/>
    <n v="0"/>
  </r>
  <r>
    <n v="37"/>
    <s v="0037"/>
    <s v="GAGHA"/>
    <d v="2022-01-14T00:00:00"/>
    <x v="1"/>
    <s v="GHA0048"/>
    <s v="FR-800-GAGHA-0097-2022"/>
    <s v="N/A"/>
    <s v="Suministrar dotación de calzado a los Servidores Públicos de EMCALI EICE ESP."/>
    <n v="463917000"/>
    <s v="29 de abril 2022"/>
    <s v="900-IP-0091-2022"/>
    <m/>
    <n v="202200920"/>
    <n v="463917000"/>
    <s v="N/A"/>
    <s v="N/A"/>
    <m/>
    <x v="2"/>
    <s v="PABLO CAICEDO"/>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s v="Jan"/>
    <m/>
    <n v="24"/>
    <n v="21"/>
    <s v="G"/>
    <s v="FUNCIONAMIENTO"/>
    <s v="800-AO-1340-2022"/>
    <d v="2022-01-27T00:00:00"/>
    <n v="463146394"/>
    <s v="STATON SAS"/>
    <m/>
    <n v="770606"/>
    <m/>
    <m/>
    <s v="2021-375"/>
    <s v="20 de diciembre 2021"/>
    <m/>
    <s v="BOGOTA"/>
    <s v="NACIONAL"/>
    <m/>
    <n v="1.661085927008495E-3"/>
    <n v="0"/>
    <n v="1"/>
  </r>
  <r>
    <n v="38"/>
    <s v="0038"/>
    <s v="GAGHA"/>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s v="JULIO GARCIA"/>
    <d v="2022-01-17T00:00:00"/>
    <m/>
    <m/>
    <m/>
    <s v="Entregado al area"/>
    <x v="1"/>
    <s v="21 DE ENERO EN REVISION DE LA COTIZACIONES_x000a_24 DE ENERO SE RECIBEN COTIZACIONES_x000a_26 DE ENERO EN ELABORACION DE LA  EVALUACION _x000a_28 de enero en revision de evaluacion"/>
    <m/>
    <d v="2022-02-08T00:00:00"/>
    <s v="Jan"/>
    <m/>
    <n v="25"/>
    <n v="22"/>
    <s v="G"/>
    <s v="FUNCIONAMIENTO"/>
    <s v="800-AO-1468-2022"/>
    <d v="2022-01-26T00:00:00"/>
    <n v="323631500"/>
    <s v="UNIDAD DE SALUD OCUPACIONAL SAS"/>
    <m/>
    <n v="0"/>
    <m/>
    <m/>
    <s v="N/A"/>
    <s v="N/A"/>
    <m/>
    <s v="CALI"/>
    <s v="LOCAL"/>
    <m/>
    <n v="0"/>
    <n v="0"/>
    <n v="1"/>
  </r>
  <r>
    <n v="39"/>
    <s v="0039"/>
    <s v="GAGHA"/>
    <d v="2022-01-14T00:00:00"/>
    <x v="1"/>
    <s v="GHA0216"/>
    <s v="FR-800-GAGHA-0094-2022"/>
    <s v="N/A"/>
    <s v="Compra de articulos de papelería (cajas de archivo No 12) para las dependencias de EMCALI EICE ESP."/>
    <n v="23902221"/>
    <s v="15 de marzo 2022"/>
    <s v="900-IP-0076-2022"/>
    <m/>
    <n v="202201123"/>
    <n v="23920000"/>
    <s v="N/A"/>
    <s v="N/A"/>
    <m/>
    <x v="2"/>
    <s v="JULIO GARCIA"/>
    <d v="2022-01-17T00:00:00"/>
    <m/>
    <m/>
    <m/>
    <s v="Entregado al area"/>
    <x v="1"/>
    <s v="21 DE ENERO EN REVISION DE LA INVITACION_x000a_24 DE ENERO EN RECEPCION DE OFERTAS_x000a_26 DE ENERO EN APROBACION DE POLIZAS_x000a_28 de enero entregado al area"/>
    <m/>
    <d v="2022-01-27T00:00:00"/>
    <s v="Jan"/>
    <m/>
    <n v="13"/>
    <n v="10"/>
    <s v="G"/>
    <s v="FUNCIONAMIENTO"/>
    <s v="800-AO-1041-2022"/>
    <d v="2022-01-24T00:00:00"/>
    <n v="23319240"/>
    <s v="AS DISTRIBUCION INSTITUCIONAL SAS"/>
    <m/>
    <n v="582981"/>
    <m/>
    <m/>
    <s v="2022-015"/>
    <s v="7 de enero 2022"/>
    <m/>
    <s v="CALI"/>
    <s v="LOCAL"/>
    <m/>
    <n v="2.4390243902439025E-2"/>
    <n v="0"/>
    <n v="1"/>
  </r>
  <r>
    <n v="40"/>
    <s v="0040"/>
    <s v="GAGHA"/>
    <d v="2022-01-14T00:00:00"/>
    <x v="1"/>
    <s v="GHA0061"/>
    <s v="FR-800-GAGHA-0100-2022"/>
    <s v="N/A"/>
    <s v="Realizar toma de pruebas de alcohol, pruebas de sustancias psicoactivas y verificación de las pruebas."/>
    <n v="82946029"/>
    <s v="31 DE DICIEMBRE 2022"/>
    <s v="900-IP-0106-2021"/>
    <m/>
    <n v="202201167"/>
    <n v="83000000"/>
    <s v="N/A"/>
    <s v="N/A"/>
    <m/>
    <x v="2"/>
    <s v="MARIO AREVALO"/>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s v="Jan"/>
    <m/>
    <n v="27"/>
    <n v="22"/>
    <s v="G"/>
    <s v="FUNCIONAMIENTO"/>
    <s v="800-AO-1512-2022"/>
    <d v="2022-01-28T00:00:00"/>
    <n v="67030000"/>
    <s v="CEMSO SAS"/>
    <m/>
    <n v="15916029"/>
    <m/>
    <m/>
    <s v="N/A"/>
    <s v="N/A"/>
    <m/>
    <s v="CALI"/>
    <s v="LOCAL"/>
    <m/>
    <n v="0.19188415879438905"/>
    <n v="0"/>
    <n v="1"/>
  </r>
  <r>
    <n v="41"/>
    <s v="0041"/>
    <s v="GAGHA"/>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s v="LINA ECHAVARRIA"/>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s v="Jan"/>
    <m/>
    <n v="25"/>
    <n v="20"/>
    <s v="G"/>
    <s v="FUNCIONAMIENTO"/>
    <s v="800-AO-1316-2022"/>
    <d v="2022-01-27T00:00:00"/>
    <n v="130598474"/>
    <s v="SERVICIOS TECNICOS E INGENIERIA (SETINGE LTDA)"/>
    <m/>
    <n v="0"/>
    <m/>
    <m/>
    <s v="2021-368"/>
    <d v="2021-12-14T00:00:00"/>
    <m/>
    <s v="BOGOTA"/>
    <s v="NACIONAL"/>
    <m/>
    <n v="0"/>
    <n v="0"/>
    <n v="1"/>
  </r>
  <r>
    <n v="42"/>
    <s v="0042"/>
    <s v="GAGHA"/>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s v="MARIO AREVALO"/>
    <d v="2022-01-19T00:00:00"/>
    <m/>
    <m/>
    <m/>
    <s v="Entregado al area"/>
    <x v="1"/>
    <s v="19 DE ENERO 2022 REASIGNARON EL PROCESO A MARIO AREVALO_x000a_21 DE ENERO EN COTIZACIONES_x000a_24 DE ENERO SE RECIBEN LAS COTIZACIONES_x000a_28 DE ENERO EN ELABORACION DE LA EVALUACION"/>
    <m/>
    <d v="2022-02-08T00:00:00"/>
    <s v="Jan"/>
    <m/>
    <n v="25"/>
    <n v="20"/>
    <s v="G"/>
    <s v="FUNCIONAMIENTO"/>
    <s v="800-AO-1513-2022"/>
    <d v="2022-01-28T00:00:00"/>
    <n v="376651270"/>
    <s v="INTERNATIONAL PETS LEANING SAS"/>
    <m/>
    <n v="24292134"/>
    <m/>
    <m/>
    <s v="N/A"/>
    <s v="N/A"/>
    <m/>
    <s v="CALI"/>
    <s v="LOCAL"/>
    <m/>
    <n v="6.0587438919434126E-2"/>
    <n v="0"/>
    <n v="1"/>
  </r>
  <r>
    <n v="43"/>
    <s v="0043"/>
    <s v="GUENE"/>
    <d v="2022-01-17T00:00:00"/>
    <x v="1"/>
    <s v="GE0246"/>
    <s v="FR-500-GE-0117-2022"/>
    <s v="N/A"/>
    <s v="Suministro de radios de comunicación portatiles"/>
    <n v="338606884"/>
    <s v="60 dias"/>
    <s v="900-IP-0131-2022"/>
    <m/>
    <n v="202201685"/>
    <n v="394128000"/>
    <s v="N/A"/>
    <s v="N/A"/>
    <m/>
    <x v="2"/>
    <s v="ANA MARIA GIL"/>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s v="Jan"/>
    <m/>
    <n v="22"/>
    <n v="18"/>
    <s v="G"/>
    <s v="FUNCIONAMIENTO"/>
    <s v="500-AO-1456-2022"/>
    <m/>
    <n v="335122981"/>
    <s v="RADIONET SOLUCIONES SA"/>
    <m/>
    <n v="3483903"/>
    <m/>
    <m/>
    <s v="2022-014"/>
    <d v="2022-01-07T00:00:00"/>
    <m/>
    <m/>
    <m/>
    <m/>
    <n v="1.0288931396917495E-2"/>
    <n v="1"/>
    <n v="1"/>
  </r>
  <r>
    <n v="44"/>
    <s v="0044"/>
    <s v="GAGHA"/>
    <d v="2022-01-18T00:00:00"/>
    <x v="1"/>
    <s v="GHA1600"/>
    <s v="FR-800-GAGHA-0095-2022"/>
    <s v="N/A"/>
    <s v="Jabon liquido espumoso para manos"/>
    <n v="199992024"/>
    <s v="30 de julio 2022"/>
    <s v="900-IP-0092-2022"/>
    <s v="IP-"/>
    <n v="202201122"/>
    <n v="200571511"/>
    <s v="N/A"/>
    <s v="N/A"/>
    <s v="N/A"/>
    <x v="2"/>
    <s v="CRISTHIAN BURBANO"/>
    <d v="2022-01-20T00:00:00"/>
    <e v="#VALUE!"/>
    <e v="#VALUE!"/>
    <s v="NO"/>
    <s v="Devuelto"/>
    <x v="2"/>
    <m/>
    <s v="24 DE ENERO SE ENVIO LA INVITACION A OFERTAR AL PROVEEDOR_x000a_27 DE ENERO SE DEVOLVIO AL AREA"/>
    <d v="2022-01-27T00:00:00"/>
    <m/>
    <s v="ene"/>
    <n v="9"/>
    <n v="7"/>
    <s v="G"/>
    <s v="FUNCIONAMIENTO"/>
    <m/>
    <m/>
    <m/>
    <m/>
    <m/>
    <n v="199992024"/>
    <m/>
    <m/>
    <m/>
    <m/>
    <m/>
    <m/>
    <m/>
    <m/>
    <m/>
    <n v="0"/>
    <m/>
  </r>
  <r>
    <n v="45"/>
    <s v="0045"/>
    <s v="GUENE"/>
    <d v="2022-01-18T00:00:00"/>
    <x v="1"/>
    <s v="GE0307"/>
    <s v="FR-500-GE-0121-2022"/>
    <s v="N/A"/>
    <s v="Suministro de sello de seguridad"/>
    <n v="25456563"/>
    <s v="90 dias"/>
    <s v="900-IP-0109-2022"/>
    <m/>
    <n v="202201714"/>
    <n v="25456563"/>
    <s v="N/A"/>
    <s v="N/A"/>
    <m/>
    <x v="2"/>
    <s v="SILVIA GALINDO"/>
    <d v="2022-01-20T00:00:00"/>
    <m/>
    <m/>
    <m/>
    <s v="Entregado al area"/>
    <x v="1"/>
    <s v="24 DE ENERO EN COTIZACIONES_x000a_26 de enero en revision de la fpa e invitacion_x000a_28 DE ENERO EN RECEPCION DE OFERTAS_x000a_EN REVISION DE LA EVALUACION"/>
    <m/>
    <d v="2022-02-14T00:00:00"/>
    <s v="Jan"/>
    <m/>
    <n v="27"/>
    <n v="25"/>
    <s v="G"/>
    <s v="FUNCIONAMIENTO"/>
    <s v="500-AO-1510-2022"/>
    <d v="2022-01-28T00:00:00"/>
    <n v="25456563"/>
    <s v="COMERCIO  INTERNACIONAL CONTENEDORES Y TRANSPORTE  SOCIEDAD  POR  ACCIONES SIMPLIFICADA"/>
    <m/>
    <n v="0"/>
    <m/>
    <m/>
    <s v="2022-023"/>
    <d v="2022-01-13T00:00:00"/>
    <m/>
    <s v="BOGOTA"/>
    <s v="NACIONAL"/>
    <m/>
    <n v="0"/>
    <n v="1"/>
    <n v="1"/>
  </r>
  <r>
    <n v="46"/>
    <s v="0046"/>
    <s v="GUENE"/>
    <d v="2022-01-18T00:00:00"/>
    <x v="1"/>
    <s v="GE0278"/>
    <s v="FR-500-GE-0107-2022"/>
    <s v="N/A"/>
    <s v="Suministro de cajas hermeticas"/>
    <n v="157107757"/>
    <s v="90 dias"/>
    <s v="900-IP-0130-2022"/>
    <m/>
    <n v="202201142"/>
    <n v="309427468"/>
    <s v="N/A"/>
    <s v="N/A"/>
    <m/>
    <x v="2"/>
    <s v="ANA MARIA GIL"/>
    <d v="2022-01-21T00:00:00"/>
    <m/>
    <m/>
    <m/>
    <s v="Entregado al area"/>
    <x v="1"/>
    <s v="21 de enero en solicitud de conceptos_x000a_24 de enero en recepcion de cotizaciones_x000a_26 de enero en aceptacion_x000a_esperando revision de la aceptacion"/>
    <m/>
    <d v="2022-02-11T00:00:00"/>
    <s v="Jan"/>
    <m/>
    <n v="24"/>
    <n v="21"/>
    <s v="G"/>
    <s v="INVERSION"/>
    <s v="500-AO-1472-2022"/>
    <d v="2022-01-28T00:00:00"/>
    <n v="157107757"/>
    <s v="SOCIEDAD INDUSTRIAL METAL ELECTRICA SAS"/>
    <m/>
    <n v="0"/>
    <m/>
    <m/>
    <s v="2021-385"/>
    <d v="2021-12-30T00:00:00"/>
    <m/>
    <s v="MEDELLIN "/>
    <s v="NACIONAL"/>
    <m/>
    <n v="0"/>
    <n v="1"/>
    <n v="1"/>
  </r>
  <r>
    <n v="47"/>
    <s v="0047"/>
    <s v="GUENE"/>
    <d v="2022-01-18T00:00:00"/>
    <x v="1"/>
    <s v="GE0204"/>
    <s v="FR-500-GE-0108-2022"/>
    <s v="N/A"/>
    <s v="Suministro de modems 4G"/>
    <n v="398453055"/>
    <s v="90 dias"/>
    <s v="900-IP-0129-2022"/>
    <m/>
    <n v="202201141"/>
    <n v="398453055"/>
    <s v="N/A"/>
    <s v="N/A"/>
    <m/>
    <x v="2"/>
    <s v="ANA MARIA GIL"/>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s v="Jan"/>
    <m/>
    <n v="20"/>
    <n v="17"/>
    <s v="G"/>
    <s v="FUNCIONAMIENTO"/>
    <s v="500-AO-1365-2022"/>
    <d v="2022-01-27T00:00:00"/>
    <n v="398453055"/>
    <s v="INDUSTRIA ELECTRICA DEL CAUCA SAS"/>
    <m/>
    <n v="0"/>
    <m/>
    <m/>
    <s v="2022-004"/>
    <d v="2022-01-05T00:00:00"/>
    <m/>
    <s v="YUMBO "/>
    <s v="MUNICIPAL"/>
    <m/>
    <n v="0"/>
    <n v="1"/>
    <n v="1"/>
  </r>
  <r>
    <n v="48"/>
    <s v="0048"/>
    <s v="GUENE"/>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s v="JHON LARRY "/>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s v="Jan"/>
    <m/>
    <n v="22"/>
    <n v="20"/>
    <s v="G"/>
    <s v="FUNCIONAMIENTO"/>
    <s v="500-AO-1428-2022"/>
    <d v="2022-01-28T00:00:00"/>
    <n v="3001775"/>
    <s v="CONAMET SAS"/>
    <m/>
    <n v="0"/>
    <m/>
    <m/>
    <s v="N/A"/>
    <s v="N/A"/>
    <m/>
    <s v="BOGOTA"/>
    <s v="NACIONAL"/>
    <m/>
    <n v="0"/>
    <n v="1"/>
    <n v="1"/>
  </r>
  <r>
    <n v="49"/>
    <s v="0049"/>
    <s v="GUENE"/>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s v="JHON LARRY "/>
    <d v="2022-01-20T00:00:00"/>
    <m/>
    <m/>
    <m/>
    <s v="Entregado al area"/>
    <x v="1"/>
    <s v="21 de enero en solicitud de conceptos_x000a_24 DE ENERO EN REVISION DE FPA E INVITACION_x000a_26 DE ENERO EN REVISION DE LA EVALUACION_x000a_28 de enero en solicitud de polizas y rp"/>
    <m/>
    <d v="2022-02-09T00:00:00"/>
    <s v="Jan"/>
    <m/>
    <n v="22"/>
    <n v="20"/>
    <s v="G"/>
    <s v="FUNCIONAMIENTO"/>
    <s v="500-AO-1341-2022"/>
    <d v="2022-01-27T00:00:00"/>
    <n v="5584670"/>
    <s v="MESURA Y METROLOGIA LTDA"/>
    <m/>
    <n v="0"/>
    <m/>
    <m/>
    <s v="N/A"/>
    <s v="N/A"/>
    <m/>
    <s v="CALI"/>
    <s v="LOCAL"/>
    <m/>
    <n v="0"/>
    <n v="1"/>
    <n v="1"/>
  </r>
  <r>
    <n v="50"/>
    <s v="0050"/>
    <s v="GUENE"/>
    <d v="2022-01-18T00:00:00"/>
    <x v="1"/>
    <s v="GE0302"/>
    <s v="FR-500-GE-0114-2022"/>
    <s v="N/A"/>
    <s v="Mnatenimiento a equipos de Calibración"/>
    <n v="13119750"/>
    <s v="60 dias"/>
    <s v="900-IP-0117-2022"/>
    <m/>
    <n v="202201682"/>
    <n v="13119750"/>
    <s v="N/A"/>
    <s v="N/A"/>
    <m/>
    <x v="2"/>
    <s v="JHON LARRY "/>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s v="Jan"/>
    <m/>
    <n v="21"/>
    <n v="19"/>
    <s v="G"/>
    <s v="FUNCIONAMIENTO"/>
    <s v="500-AO-1375-2022"/>
    <d v="2022-01-27T00:00:00"/>
    <n v="13119750"/>
    <s v="MESSEN SAS"/>
    <m/>
    <n v="0"/>
    <m/>
    <m/>
    <s v="N/A"/>
    <s v="N/A"/>
    <m/>
    <s v="BOGOTA"/>
    <s v="NACIONAL"/>
    <m/>
    <n v="0"/>
    <n v="1"/>
    <n v="1"/>
  </r>
  <r>
    <n v="51"/>
    <s v="0051"/>
    <s v="GUENE"/>
    <d v="2022-01-18T00:00:00"/>
    <x v="1"/>
    <s v="GE0303"/>
    <s v="FR-500-GE-0115-2022"/>
    <s v="N/A"/>
    <s v="Calibración de Instrumentos y Equipos de Laboratorio"/>
    <n v="40712800"/>
    <s v="15 de diciembre 2022"/>
    <s v="900-IP-0107-2022"/>
    <s v="IP-"/>
    <n v="202201683"/>
    <n v="40721800"/>
    <s v="N/A"/>
    <s v="N/A"/>
    <s v="N/A"/>
    <x v="2"/>
    <s v="SILVIA GALINDO"/>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m/>
    <s v="ene"/>
    <n v="10"/>
    <n v="8"/>
    <s v="G"/>
    <s v="FUNCIONAMIENTO"/>
    <m/>
    <m/>
    <m/>
    <m/>
    <m/>
    <n v="40712800"/>
    <m/>
    <m/>
    <m/>
    <m/>
    <m/>
    <m/>
    <m/>
    <m/>
    <m/>
    <n v="1"/>
    <m/>
  </r>
  <r>
    <n v="52"/>
    <s v="0052"/>
    <s v="GUENE"/>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s v="SILVIA GALINDO"/>
    <d v="2022-01-20T00:00:00"/>
    <e v="#VALUE!"/>
    <e v="#VALUE!"/>
    <s v="NO"/>
    <s v="Devuelto"/>
    <x v="2"/>
    <m/>
    <s v="24 DE ENERO EN COTIZACIONES_x000a_26 de enero el proveedor no ha enviado la cotizacion_x000a_28 DE ENERO EN COTIZACIONES NO SE HA RECIBIDO RESPUES DEL PROVEEDOR"/>
    <d v="2022-01-28T00:00:00"/>
    <m/>
    <s v="ene"/>
    <n v="10"/>
    <n v="8"/>
    <s v="G"/>
    <s v="FUNCIONAMIENTO"/>
    <m/>
    <m/>
    <m/>
    <m/>
    <m/>
    <n v="62492850"/>
    <m/>
    <m/>
    <m/>
    <m/>
    <m/>
    <m/>
    <m/>
    <m/>
    <m/>
    <n v="1"/>
    <m/>
  </r>
  <r>
    <n v="53"/>
    <s v="0053"/>
    <s v="GUENE"/>
    <d v="2022-01-18T00:00:00"/>
    <x v="1"/>
    <s v="GE0309"/>
    <s v="FR-500-GE-0126-2022"/>
    <s v="N/A"/>
    <s v="Suministro de cajas metalicas para medidores"/>
    <n v="31318283"/>
    <s v="90 dias"/>
    <s v="900-IP-0119-2022"/>
    <m/>
    <n v="202200904"/>
    <n v="31318283"/>
    <s v="N/A"/>
    <s v="N/A"/>
    <m/>
    <x v="2"/>
    <s v="JHON LARRY "/>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s v="Jan"/>
    <m/>
    <n v="24"/>
    <n v="22"/>
    <s v="G"/>
    <s v="FUNCIONAMIENTO"/>
    <s v="500-AO-1521-2022"/>
    <d v="2022-01-28T00:00:00"/>
    <n v="31318283"/>
    <s v="INDUSTRIAS REBRA SAS"/>
    <m/>
    <n v="0"/>
    <m/>
    <m/>
    <s v="N/A"/>
    <s v="N/A"/>
    <m/>
    <s v="YUMBO"/>
    <s v="REGIONAL"/>
    <m/>
    <n v="0"/>
    <n v="1"/>
    <n v="1"/>
  </r>
  <r>
    <n v="54"/>
    <s v="0054"/>
    <s v="GUENE"/>
    <d v="2022-01-18T00:00:00"/>
    <x v="1"/>
    <s v="GE0236"/>
    <s v="FR-500-GE-0125-2022"/>
    <s v="N/A"/>
    <s v="Suministro de cajas Policarbonato"/>
    <n v="48788215"/>
    <s v="90 dias"/>
    <s v="900-IP-0110-2022"/>
    <m/>
    <n v="202201938"/>
    <n v="48788215"/>
    <s v="N/A"/>
    <s v="N/A"/>
    <m/>
    <x v="2"/>
    <s v="SILVIA GALINDO"/>
    <d v="2022-01-20T00:00:00"/>
    <m/>
    <m/>
    <m/>
    <s v="Entregado al area"/>
    <x v="1"/>
    <s v="24 DE ENERO EN COTIZACIONES_x000a_26 de enero en elaboracion de fpa e invitacion_x000a_28 DE ENERO EN RECEPCION DE OFERTAS"/>
    <m/>
    <d v="2022-02-10T00:00:00"/>
    <s v="Jan"/>
    <m/>
    <n v="23"/>
    <n v="21"/>
    <s v="G"/>
    <s v="FUNCIONAMIENTO"/>
    <s v="500-AO-1511-2022"/>
    <d v="2022-01-28T00:00:00"/>
    <n v="48788215"/>
    <s v="COMPAC SAS"/>
    <m/>
    <n v="0"/>
    <m/>
    <m/>
    <s v="2022-025"/>
    <d v="2022-01-13T00:00:00"/>
    <m/>
    <s v="BOGOTA"/>
    <s v="NACIONAL"/>
    <m/>
    <n v="0"/>
    <n v="1"/>
    <n v="1"/>
  </r>
  <r>
    <n v="55"/>
    <s v="0055"/>
    <s v="GUENE"/>
    <d v="2022-01-18T00:00:00"/>
    <x v="1"/>
    <s v="GE0201"/>
    <s v="FR-500-GE-0119-2022"/>
    <s v="N/A"/>
    <s v="Suministro sellos de bornera para medidor de energía"/>
    <n v="8407493"/>
    <s v="1 mes"/>
    <s v="900-IP-0118-2022"/>
    <m/>
    <n v="202201115"/>
    <n v="8407493"/>
    <s v="N/A"/>
    <s v="N/A"/>
    <m/>
    <x v="2"/>
    <s v="JHON LARRY "/>
    <d v="2022-01-20T00:00:00"/>
    <m/>
    <m/>
    <m/>
    <s v="Entregado al area"/>
    <x v="1"/>
    <s v="21 de enero en solicitud de conceptos_x000a_24 DE ENERO EN COTIZACIONES_x000a_26 DE ENERO EN RECECION DE OFERTAS_x000a_EN SOLICITUD DE REGISTRO Y POLIZAS"/>
    <m/>
    <d v="2022-02-11T00:00:00"/>
    <s v="Jan"/>
    <m/>
    <n v="24"/>
    <n v="22"/>
    <s v="G"/>
    <s v="FUNCIONAMIENTO"/>
    <s v="500-AO-1374-2022"/>
    <d v="2022-01-27T00:00:00"/>
    <n v="8407493"/>
    <s v="NORMARH SAS"/>
    <m/>
    <n v="0"/>
    <m/>
    <m/>
    <s v="2021-388"/>
    <d v="2022-01-06T00:00:00"/>
    <m/>
    <s v="PEREIRA"/>
    <s v="NACIONAL"/>
    <m/>
    <n v="0"/>
    <n v="1"/>
    <n v="1"/>
  </r>
  <r>
    <n v="56"/>
    <s v="0056"/>
    <s v="GUENAA"/>
    <d v="2022-01-18T00:00:00"/>
    <x v="1"/>
    <s v="GAA0350"/>
    <s v="FR-300-GAA-0007-2022"/>
    <s v="N/A"/>
    <s v="Mantenimiento de Plotter, consecución de repuestos originales e insumos para el correcto funcionamiento del mismo."/>
    <n v="8000000"/>
    <s v="6 meses"/>
    <s v="900-IP-0123-2022"/>
    <m/>
    <n v="202200909"/>
    <n v="8000000"/>
    <s v="N/A"/>
    <s v="N/A"/>
    <m/>
    <x v="2"/>
    <s v="IVAN ALDANA"/>
    <d v="2022-01-21T00:00:00"/>
    <m/>
    <m/>
    <m/>
    <s v="Entregado al area"/>
    <x v="1"/>
    <s v="24 DE ENERO EN COTIZACIONES_x000a_26 DE ENERO EN ELABORACION DE LA EVALUACION_x000a_28 de enero en espera de numeracion de la aceptacion"/>
    <m/>
    <d v="2022-02-13T00:00:00"/>
    <s v="Jan"/>
    <m/>
    <n v="26"/>
    <n v="23"/>
    <s v="G"/>
    <s v="FUNCIONAMIENTO"/>
    <s v="300-AO-1420-2022"/>
    <d v="2022-01-27T00:00:00"/>
    <n v="8000000"/>
    <s v="JARVITH ALONSO QUINTERO"/>
    <m/>
    <n v="0"/>
    <m/>
    <m/>
    <s v="N/A"/>
    <s v="N/A"/>
    <m/>
    <s v="CALI"/>
    <s v="LOCAL"/>
    <m/>
    <n v="0"/>
    <n v="1"/>
    <n v="1"/>
  </r>
  <r>
    <n v="57"/>
    <s v="0057"/>
    <s v="GUENAA"/>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s v="CENELIA CRUZ"/>
    <d v="2022-01-20T00:00:00"/>
    <m/>
    <m/>
    <m/>
    <s v="Entregado al area"/>
    <x v="1"/>
    <s v="21 de enero en revisionde la invitacion por parte de la jefe"/>
    <m/>
    <d v="2022-02-08T00:00:00"/>
    <s v="Feb"/>
    <m/>
    <n v="21"/>
    <n v="19"/>
    <s v="N/A"/>
    <s v="OPERACIÓN"/>
    <s v="300-CMA-1241-2020/300-AO-1371-2022"/>
    <d v="2022-01-26T00:00:00"/>
    <n v="298130016"/>
    <s v="SULFOQUIMICA SA"/>
    <m/>
    <n v="335732"/>
    <m/>
    <m/>
    <s v="2022-031"/>
    <d v="2022-01-17T00:00:00"/>
    <m/>
    <s v="ITAGUI"/>
    <s v="NACIONAL"/>
    <m/>
    <n v="1.1248593925759281E-3"/>
    <n v="1"/>
    <n v="0"/>
  </r>
  <r>
    <n v="58"/>
    <s v="0058"/>
    <s v="GUENAA"/>
    <d v="2022-01-18T00:00:00"/>
    <x v="1"/>
    <s v="GAA0218"/>
    <s v="FR-300-GAA-0026-2022"/>
    <s v="300-CMA-1243-2020"/>
    <s v="Suministro de Cloro, para ser utilizado en el Tratamiento de Agua Potable para consumo humano."/>
    <n v="1181777325"/>
    <s v="75 dias"/>
    <s v="N/A"/>
    <m/>
    <n v="202200895"/>
    <n v="1406325281"/>
    <s v="N/A"/>
    <s v="N/A"/>
    <m/>
    <x v="1"/>
    <s v="LUCY ARBELAEZ"/>
    <d v="2022-01-20T00:00:00"/>
    <m/>
    <m/>
    <m/>
    <s v="Entregado al area"/>
    <x v="1"/>
    <m/>
    <m/>
    <d v="2022-02-08T00:00:00"/>
    <s v="Feb"/>
    <m/>
    <n v="21"/>
    <n v="19"/>
    <s v="N/A"/>
    <s v="OPERACIÓN"/>
    <s v="300-CMA-1243-2020/300-AO-1372-2022"/>
    <d v="2022-01-27T00:00:00"/>
    <n v="1181118035"/>
    <s v="QUIMPAC DE COLOMBIA SA"/>
    <m/>
    <n v="659290"/>
    <m/>
    <m/>
    <s v="2022-034"/>
    <d v="2022-01-17T00:00:00"/>
    <m/>
    <s v="YUMBO"/>
    <s v="MUNICIPAL"/>
    <m/>
    <n v="5.5788005578800558E-4"/>
    <n v="1"/>
    <n v="0"/>
  </r>
  <r>
    <n v="59"/>
    <s v="0059"/>
    <s v="GUENAA"/>
    <d v="2022-01-18T00:00:00"/>
    <x v="1"/>
    <s v="GAA0217"/>
    <s v="FR-300-GAA-0027-2022"/>
    <s v="300-CMA-1243-2020"/>
    <s v="Suministro de Hidróxido de Sodio para ser utilizado en el Tratamiento de Agua Potable para consumo humano."/>
    <n v="46963851"/>
    <s v="10 dias"/>
    <s v="N/A"/>
    <m/>
    <n v="202200901"/>
    <n v="55891920"/>
    <s v="N/A"/>
    <s v="N/A"/>
    <m/>
    <x v="1"/>
    <s v="LUCY ARBELAEZ"/>
    <d v="2022-01-20T00:00:00"/>
    <m/>
    <m/>
    <m/>
    <s v="Entregado al area"/>
    <x v="1"/>
    <m/>
    <m/>
    <d v="2022-02-09T00:00:00"/>
    <s v="Feb"/>
    <m/>
    <n v="22"/>
    <n v="20"/>
    <s v="N/A"/>
    <s v="OPERACIÓN"/>
    <s v="300-CMA-1243-2020/300-AO-1373-2022"/>
    <d v="2022-01-27T00:00:00"/>
    <n v="46939530"/>
    <s v="QUIMPAC DE COLOMBIA SA"/>
    <m/>
    <n v="24321"/>
    <m/>
    <m/>
    <s v="2022-030"/>
    <d v="2022-01-17T00:00:00"/>
    <m/>
    <s v="CALI"/>
    <s v="LOCAL"/>
    <m/>
    <n v="5.1786639047125837E-4"/>
    <n v="1"/>
    <n v="0"/>
  </r>
  <r>
    <n v="60"/>
    <s v="0060"/>
    <s v="GUENAA"/>
    <d v="2022-01-18T00:00:00"/>
    <x v="1"/>
    <s v="GAA0223"/>
    <s v="FR-300-GAA-0028-2022"/>
    <s v="300-CMA-1245-2020"/>
    <s v="Suministro de Coagulante para ser utilizado en el Tratamiento de Agua Potable para consumo humano"/>
    <n v="1504140966"/>
    <s v="74 dias"/>
    <s v="N/A"/>
    <m/>
    <n v="202200900"/>
    <n v="1526456138"/>
    <s v="N/A"/>
    <s v="N/A"/>
    <m/>
    <x v="1"/>
    <s v="LUCY ARBELAEZ"/>
    <d v="2022-01-20T00:00:00"/>
    <e v="#REF!"/>
    <e v="#REF!"/>
    <s v="SI"/>
    <s v="Entregado al area"/>
    <x v="1"/>
    <m/>
    <m/>
    <d v="2022-02-14T00:00:00"/>
    <s v="Mar"/>
    <m/>
    <n v="27"/>
    <n v="25"/>
    <s v="N/A"/>
    <s v="FUNCIONAMIENTO"/>
    <s v="300-CMA-1245-2020/300-AO-1616-2022"/>
    <d v="2022-01-28T00:00:00"/>
    <n v="1282734965.3999999"/>
    <s v="SULFOQUIMICA SA"/>
    <m/>
    <n v="221406000.60000014"/>
    <m/>
    <m/>
    <s v="2022-032"/>
    <d v="2022-01-17T00:00:00"/>
    <m/>
    <s v="YUMBO"/>
    <s v="MUNICIPAL"/>
    <m/>
    <n v="0.14719764011799419"/>
    <n v="1"/>
    <n v="0"/>
  </r>
  <r>
    <n v="61"/>
    <s v="0061"/>
    <s v="GUENAA"/>
    <d v="2022-01-18T00:00:00"/>
    <x v="1"/>
    <s v="GAA0221"/>
    <s v="FR-300-GAA-0029-2022"/>
    <s v="300-CMA-1246-2020"/>
    <s v="Suministro de Coagulante para las Plantas Rio Cauca, Rio Cali, La Reforma y La Rivera: Hidroxicloruro de Aluminio."/>
    <n v="766147800"/>
    <s v="70 dias"/>
    <s v="N/A"/>
    <m/>
    <n v="202200898"/>
    <n v="796239234"/>
    <s v="N/A"/>
    <s v="N/A"/>
    <m/>
    <x v="1"/>
    <s v="LUCY ARBELAEZ"/>
    <d v="2022-01-20T00:00:00"/>
    <e v="#REF!"/>
    <e v="#REF!"/>
    <s v="SI"/>
    <s v="Entregado al area"/>
    <x v="1"/>
    <s v="8 DE MARZO ENTREGADO AL AREA"/>
    <m/>
    <d v="2022-03-08T00:00:00"/>
    <s v="Mar"/>
    <m/>
    <n v="49"/>
    <n v="47"/>
    <s v="N/A"/>
    <s v="FUNCIONAMIENTO"/>
    <s v="300-CMA-1246-2020/300-AO-1672-2022"/>
    <d v="2022-02-08T00:00:00"/>
    <n v="669060200"/>
    <s v="QUIMPAC DE COLOMBIA SA"/>
    <m/>
    <n v="97087600"/>
    <m/>
    <m/>
    <s v="2022-029"/>
    <d v="2022-01-17T00:00:00"/>
    <m/>
    <s v="YUMBO "/>
    <s v="MUNICIPAL"/>
    <m/>
    <n v="0.12672176308539945"/>
    <n v="1"/>
    <n v="0"/>
  </r>
  <r>
    <n v="62"/>
    <s v="0062"/>
    <s v="GG"/>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s v="JUAN PABLO QUIMBAYO"/>
    <d v="2022-01-20T00:00:00"/>
    <m/>
    <m/>
    <m/>
    <s v="Entregado al area"/>
    <x v="1"/>
    <s v="21 de enero en cotizaciones_x000a_24 DE ENERO EN INVITACION A OFERTAR_x000a_26 de enero en revision de la evaluacion _x000a_27 de enero en rp y polizas"/>
    <m/>
    <d v="2022-02-03T00:00:00"/>
    <s v="Jan"/>
    <m/>
    <n v="16"/>
    <n v="14"/>
    <s v="G"/>
    <s v="FUNCIONAMIENTO"/>
    <s v="100-AO-1328-2022"/>
    <d v="2022-01-27T00:00:00"/>
    <n v="84605611"/>
    <s v="UNION TEMPORAL SERVIECOLOGICO"/>
    <m/>
    <n v="0"/>
    <m/>
    <m/>
    <s v="N/A"/>
    <s v="N/A"/>
    <m/>
    <s v="CALI"/>
    <s v="LOCAL"/>
    <m/>
    <n v="0"/>
    <n v="0"/>
    <n v="1"/>
  </r>
  <r>
    <n v="63"/>
    <s v="0063"/>
    <s v="GUENAA"/>
    <d v="2022-01-18T00:00:00"/>
    <x v="1"/>
    <s v="GAA0176"/>
    <s v="FR-300-GAA-0013-2022"/>
    <s v="N/A"/>
    <s v="Restauración losas canal interceptor Sur."/>
    <n v="197295959"/>
    <s v="6 meses"/>
    <s v="900-IP-0095-2022"/>
    <m/>
    <n v="202201926"/>
    <n v="200000000"/>
    <s v="N/A"/>
    <s v="N/A"/>
    <m/>
    <x v="2"/>
    <s v="JUAN PABLO QUIMBAYO"/>
    <d v="2022-01-20T00:00:00"/>
    <m/>
    <m/>
    <m/>
    <s v="Entregado al area"/>
    <x v="1"/>
    <s v="21 de enero en cotizaciones_x000a_24 DE ENERO EN INVITACION A OFERTAR_x000a_26 de enero en revision de la evaluacion _x000a_27 de enero en rp y polizas"/>
    <m/>
    <d v="2022-02-07T00:00:00"/>
    <s v="Jan"/>
    <m/>
    <n v="20"/>
    <n v="18"/>
    <s v="G"/>
    <s v="INVERSION"/>
    <s v="300-AO-1330-2022"/>
    <d v="2022-01-27T00:00:00"/>
    <n v="194860197"/>
    <s v="PROYECTOS Y CONSTRUCCIONES DEL PACIFICO SAS"/>
    <m/>
    <n v="2435762"/>
    <m/>
    <m/>
    <s v="N/A"/>
    <s v="N/A"/>
    <m/>
    <s v="BUENAVENTURA"/>
    <s v="REGIONAL"/>
    <m/>
    <n v="1.2345726756623536E-2"/>
    <n v="1"/>
    <n v="1"/>
  </r>
  <r>
    <n v="64"/>
    <s v="0064"/>
    <s v="GUENAA"/>
    <d v="2022-01-18T00:00:00"/>
    <x v="1"/>
    <s v="GAA0628"/>
    <s v="FR-300-GAA-0014-2022"/>
    <s v="N/A"/>
    <s v="Reposición redes alcantarillado barrio Comuneros I"/>
    <n v="363128044"/>
    <s v="6 meses"/>
    <s v="900-IP-0086-2022"/>
    <m/>
    <n v="202201918"/>
    <n v="365000000"/>
    <s v="N/A"/>
    <s v="N/A"/>
    <m/>
    <x v="2"/>
    <s v="VIAGNERY LOPEZ"/>
    <d v="2022-01-20T00:00:00"/>
    <m/>
    <m/>
    <m/>
    <s v="Entregado al area"/>
    <x v="1"/>
    <s v="21 DE ENERO EN REVISION DE LA FPA E INVITACION_x000a_24 de enero en invitacion a ofertar_x000a_26 de enero en aceptacion_x000a_27 de enero en solicitud de polizas y rp"/>
    <m/>
    <d v="2022-02-08T00:00:00"/>
    <s v="Jan"/>
    <m/>
    <n v="21"/>
    <n v="19"/>
    <s v="G"/>
    <s v="INVERSION"/>
    <s v="300-AO-1311-2022"/>
    <d v="2022-01-27T00:00:00"/>
    <n v="362715477"/>
    <s v="JAIRO MARTIN VARGAS DIAZ"/>
    <m/>
    <n v="412567"/>
    <m/>
    <m/>
    <s v="N/A"/>
    <s v="N/A"/>
    <m/>
    <s v="CALI"/>
    <s v="CALI"/>
    <m/>
    <n v="1.1361474466565849E-3"/>
    <n v="1"/>
    <n v="1"/>
  </r>
  <r>
    <n v="65"/>
    <s v="0065"/>
    <s v="GUENAA"/>
    <d v="2022-01-18T00:00:00"/>
    <x v="1"/>
    <s v="GAA0162"/>
    <s v="FR-300-GAA-0015-2022"/>
    <s v="N/A"/>
    <s v="Reposición redes alcantarillado barrio Andres Sanin"/>
    <n v="490449035"/>
    <s v="6 meses"/>
    <s v="900-IP-0102-2022"/>
    <m/>
    <n v="202201917"/>
    <n v="495000000"/>
    <s v="N/A"/>
    <s v="N/A"/>
    <m/>
    <x v="2"/>
    <s v="HAROLD MONDRAGON"/>
    <d v="2022-01-20T00:00:00"/>
    <m/>
    <m/>
    <m/>
    <s v="Entregado al area"/>
    <x v="1"/>
    <s v="21 de enero en cotizaciones _x000a_24 DE ENERO EN REVISION DE LA FPA_x000a_26 DE ENERO EN REVISION DE LA EVALUACION_x000a_27 de enero en solicitud de polizas y registro presupuestal"/>
    <m/>
    <d v="2022-02-03T00:00:00"/>
    <s v="Jan"/>
    <m/>
    <n v="16"/>
    <n v="14"/>
    <s v="G"/>
    <s v="INVERSION"/>
    <s v="300-AO-1336-2022"/>
    <d v="2022-01-27T00:00:00"/>
    <n v="490449033"/>
    <s v="AYAPAC CONSTRUCCIONES SAS"/>
    <m/>
    <n v="2"/>
    <m/>
    <m/>
    <s v="N/A"/>
    <s v="N/A"/>
    <m/>
    <s v="CALI"/>
    <s v="LOCAL"/>
    <m/>
    <n v="4.0778956777843392E-9"/>
    <n v="1"/>
    <n v="1"/>
  </r>
  <r>
    <n v="66"/>
    <s v="0066"/>
    <s v="GUENAA"/>
    <d v="2022-01-18T00:00:00"/>
    <x v="1"/>
    <s v="GAA0633"/>
    <s v="FR-300-GAA-0016-2022"/>
    <s v="N/A"/>
    <s v="Reposición redes alcantarillado barrio Napoles"/>
    <n v="304533212"/>
    <s v="6 meses"/>
    <s v="900-IP-0089-2022"/>
    <m/>
    <n v="202201927"/>
    <n v="310000000"/>
    <s v="N/A"/>
    <s v="N/A"/>
    <m/>
    <x v="2"/>
    <s v="VIAGNERY LOPEZ"/>
    <d v="2022-01-20T00:00:00"/>
    <m/>
    <m/>
    <m/>
    <s v="Entregado al area"/>
    <x v="1"/>
    <s v="24 de enero en invitacion a ofertar_x000a_26 de enero en aceptacion_x000a_27 de enero en solicitud de polizas y rp"/>
    <m/>
    <d v="2022-02-01T00:00:00"/>
    <s v="Jan"/>
    <m/>
    <n v="14"/>
    <n v="12"/>
    <s v="G"/>
    <s v="INVERSION"/>
    <s v="300-AO-1308-2022"/>
    <d v="2022-01-27T00:00:00"/>
    <n v="304164327"/>
    <s v="ODBI SAS"/>
    <m/>
    <n v="368885"/>
    <m/>
    <m/>
    <s v="N/A"/>
    <s v="N/A"/>
    <m/>
    <s v="PEREIRA"/>
    <s v="NACIONAL"/>
    <m/>
    <n v="1.2113128731588067E-3"/>
    <n v="1"/>
    <n v="1"/>
  </r>
  <r>
    <n v="67"/>
    <s v="0067"/>
    <s v="GUENAA"/>
    <d v="2022-01-18T00:00:00"/>
    <x v="1"/>
    <s v="GAA0630"/>
    <s v="FR-300-GAA-0017-2022"/>
    <s v="N/A"/>
    <s v="Reposición redes alcantarillado barrios La Fortaleza y Eucaristico"/>
    <n v="496893604"/>
    <s v="6 meses"/>
    <s v="900-IP-0100-2022"/>
    <m/>
    <n v="202201921"/>
    <n v="500000000"/>
    <s v="N/A"/>
    <s v="N/A"/>
    <m/>
    <x v="2"/>
    <s v="HAROLD MONDRAGON"/>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s v="Jan"/>
    <m/>
    <n v="16"/>
    <n v="14"/>
    <s v="G"/>
    <s v="INVERSION"/>
    <s v="300-AO-1334-2022"/>
    <d v="2022-01-27T00:00:00"/>
    <n v="496741956"/>
    <s v="PONTIFEX SAS"/>
    <m/>
    <n v="151648"/>
    <m/>
    <m/>
    <s v="N/A"/>
    <s v="N/A"/>
    <m/>
    <s v="CALI"/>
    <s v="LOCAL"/>
    <m/>
    <n v="3.0519209500631849E-4"/>
    <n v="1"/>
    <n v="1"/>
  </r>
  <r>
    <n v="68"/>
    <s v="0068"/>
    <s v="GUENAA"/>
    <d v="2022-01-18T00:00:00"/>
    <x v="1"/>
    <s v="GAA0160"/>
    <s v="FR-300-GAA-0018-2022"/>
    <s v="N/A"/>
    <s v="Reposición redes alcantarillado barrio El Bosque."/>
    <n v="453531324"/>
    <s v="6 meses"/>
    <s v="900-IP-0096-2022"/>
    <m/>
    <n v="202201919"/>
    <n v="455000000"/>
    <s v="N/A"/>
    <s v="N/A"/>
    <m/>
    <x v="2"/>
    <s v="HAROLD MONDRAGON"/>
    <d v="2022-01-20T00:00:00"/>
    <m/>
    <m/>
    <m/>
    <s v="Entregado al area"/>
    <x v="1"/>
    <s v="21 de enero en cotizaciones _x000a_24 DE ENERO EN ELABORACION DE LA FPA E INVITACION_x000a_26 DE ENERO EN RECEPCION DE OFERTAS_x000a_27 de enero en revision de la evaluacion"/>
    <m/>
    <d v="2022-02-16T00:00:00"/>
    <s v="Jan"/>
    <m/>
    <n v="29"/>
    <n v="27"/>
    <s v="G"/>
    <s v="INVERSION"/>
    <s v="300-AO-1422-2022"/>
    <d v="2022-01-27T00:00:00"/>
    <n v="453531324"/>
    <s v="4L INGENIERIA SAS"/>
    <m/>
    <n v="0"/>
    <m/>
    <m/>
    <s v="N/A"/>
    <s v="N/A"/>
    <m/>
    <s v="MONTERIA"/>
    <s v="NACIONAL"/>
    <m/>
    <n v="0"/>
    <n v="1"/>
    <n v="1"/>
  </r>
  <r>
    <n v="69"/>
    <s v="0069"/>
    <s v="GUENAA"/>
    <d v="2022-01-18T00:00:00"/>
    <x v="1"/>
    <s v="GAA0167"/>
    <s v="FR-300-GAA-0019-2022"/>
    <s v="N/A"/>
    <s v="Reposición redes tramos criticos sector La Campiña"/>
    <n v="285432098"/>
    <s v="6 meses"/>
    <s v="900-IP-0097-2022"/>
    <m/>
    <n v="202201923"/>
    <n v="290000000"/>
    <s v="N/A"/>
    <s v="N/A"/>
    <m/>
    <x v="2"/>
    <s v="JUAN PABLO QUIMBAYO"/>
    <d v="2022-01-20T00:00:00"/>
    <m/>
    <m/>
    <m/>
    <s v="Entregado al area"/>
    <x v="1"/>
    <s v="21 de enero en cotizaciones_x000a_24 DE ENERO EN INVITACION A OFERTAR_x000a_26 de enero en revision de la evaluacion _x000a_27 de enero en rp y polizas_x000a_"/>
    <m/>
    <d v="2022-02-04T00:00:00"/>
    <s v="Jan"/>
    <m/>
    <n v="17"/>
    <n v="15"/>
    <s v="G"/>
    <s v="INVERSION"/>
    <s v="300-AO-1324-2022"/>
    <d v="2022-01-27T00:00:00"/>
    <n v="279679505"/>
    <s v="HABILIDADES ESATRUCTURALES EN INGENIERIA  LTDA"/>
    <m/>
    <n v="5752593"/>
    <m/>
    <m/>
    <s v="N/A"/>
    <s v="N/A"/>
    <m/>
    <s v="BUENAVENTURA"/>
    <s v="REGIONAL"/>
    <m/>
    <n v="2.0153980720136109E-2"/>
    <n v="1"/>
    <n v="1"/>
  </r>
  <r>
    <n v="70"/>
    <s v="0070"/>
    <s v="GUENAA"/>
    <d v="2022-01-18T00:00:00"/>
    <x v="1"/>
    <s v="GAA0632"/>
    <s v="FR-300-GAA-0021-2022"/>
    <s v="N/A"/>
    <s v="Reposición redes tramos criticos alcantarillado barrio La Selva"/>
    <n v="488005726"/>
    <s v="6 meses"/>
    <s v="900-IP-0088-2022"/>
    <m/>
    <n v="202201925"/>
    <n v="495000000"/>
    <s v="N/A"/>
    <s v="N/A"/>
    <m/>
    <x v="2"/>
    <s v="VIAGNERY LOPEZ"/>
    <d v="2022-01-20T00:00:00"/>
    <m/>
    <m/>
    <m/>
    <s v="Entregado al area"/>
    <x v="1"/>
    <s v="24 de enero en invitacion a ofertar_x000a_26 de enero en aceptacion_x000a_27 de enero en solicitud de polizas y rp_x000a_2 DE FEBRERO ENTREGADO AL AREA"/>
    <m/>
    <d v="2022-02-02T00:00:00"/>
    <s v="Jan"/>
    <m/>
    <n v="15"/>
    <n v="13"/>
    <s v="G"/>
    <s v="INVERSION"/>
    <s v="300-AO-1318-2022"/>
    <d v="2022-01-27T00:00:00"/>
    <n v="487965113"/>
    <s v="MARIA CAMILA GONZALEZ"/>
    <m/>
    <n v="40613"/>
    <m/>
    <m/>
    <s v="N/A"/>
    <s v="N/A"/>
    <m/>
    <s v="CALI"/>
    <s v="LOCAL"/>
    <m/>
    <n v="8.3222384157025239E-5"/>
    <n v="1"/>
    <n v="1"/>
  </r>
  <r>
    <n v="71"/>
    <s v="0071"/>
    <s v="GUENAA"/>
    <d v="2022-01-18T00:00:00"/>
    <x v="1"/>
    <s v="GAA0159"/>
    <s v="FR-300-GAA-0022-2022"/>
    <s v="N/A"/>
    <s v="Reposición redes de acueducto y alcantarillado barrio Fepicol"/>
    <n v="347380623"/>
    <s v="6 meses"/>
    <s v="900-IP-0087-2022"/>
    <m/>
    <n v="202201922"/>
    <m/>
    <s v="N/A"/>
    <s v="N/A"/>
    <m/>
    <x v="2"/>
    <s v="VIAGNERY LOPEZ"/>
    <d v="2022-01-20T00:00:00"/>
    <m/>
    <m/>
    <m/>
    <s v="Entregado al area"/>
    <x v="1"/>
    <s v="21 DE ENERO EN REVISION DE LA FPA E INVITACION_x000a_24 de enero en invitacion a ofertar_x000a_26 de enero en aceptacion_x000a_27 de enero en solicitud de polizas y rp"/>
    <m/>
    <d v="2022-02-07T00:00:00"/>
    <s v="Jan"/>
    <m/>
    <n v="20"/>
    <n v="18"/>
    <s v="G"/>
    <s v="INVERSION"/>
    <s v="300-AO-1310-2022"/>
    <d v="2022-01-27T00:00:00"/>
    <n v="346499915"/>
    <s v="GIRONZA LOZANO EDUARDO"/>
    <m/>
    <n v="880708"/>
    <m/>
    <m/>
    <s v="N/A"/>
    <s v="N/A"/>
    <m/>
    <s v="CALI"/>
    <s v="LOCAL"/>
    <m/>
    <n v="2.5352824587455474E-3"/>
    <n v="1"/>
    <n v="1"/>
  </r>
  <r>
    <n v="72"/>
    <s v="0072"/>
    <s v="GUENAA"/>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03T00:00:00"/>
    <s v="Jan"/>
    <m/>
    <n v="14"/>
    <n v="14"/>
    <s v="G"/>
    <s v="INVERSION"/>
    <s v="300-AO-1335-2022"/>
    <d v="2022-01-27T00:00:00"/>
    <n v="243854800"/>
    <s v="ARMANDO LEON JIMENEZ"/>
    <m/>
    <n v="233421"/>
    <m/>
    <m/>
    <s v="N/A"/>
    <s v="N/A"/>
    <m/>
    <s v="CALI"/>
    <s v="LOCAL"/>
    <m/>
    <n v="9.5629768222203564E-4"/>
    <n v="1"/>
    <n v="1"/>
  </r>
  <r>
    <n v="73"/>
    <s v="0073"/>
    <s v="GUENAA"/>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s v="IVAN ALDANA"/>
    <d v="2022-01-21T00:00:00"/>
    <m/>
    <m/>
    <m/>
    <s v="Entregado al area"/>
    <x v="1"/>
    <s v="24 DE ENERO EN COTIZACIONES_x000a_26 de enero en revision de la fpa e invitacion_x000a_28 de enero en recepcion de ofertas"/>
    <m/>
    <d v="2022-02-15T00:00:00"/>
    <s v="Jan"/>
    <m/>
    <n v="26"/>
    <n v="25"/>
    <s v="G"/>
    <s v="FUNCIONAMIENTO"/>
    <s v="300-AO-1620-2022"/>
    <d v="2022-01-28T00:00:00"/>
    <n v="55499999"/>
    <s v="VE COLOMBIA SAS"/>
    <m/>
    <n v="0"/>
    <m/>
    <m/>
    <s v="N/A"/>
    <s v="N/A"/>
    <m/>
    <s v="MEDELLIN "/>
    <s v="NACIONAL"/>
    <m/>
    <n v="0"/>
    <n v="1"/>
    <n v="1"/>
  </r>
  <r>
    <n v="74"/>
    <s v="0074"/>
    <s v="GUENAA"/>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s v="JULIO GARCIA"/>
    <d v="2022-01-20T00:00:00"/>
    <m/>
    <m/>
    <m/>
    <s v="Entregado al area"/>
    <x v="1"/>
    <s v="21 de enero en solicitud de conceptos_x000a_24 de enero en recepcion de cotizaciones_x000a_26 DE ENERO EN ELABORACION DE LA  EVALUACION _x000a_28 de enero para firma de la aceptacion_x000a_"/>
    <m/>
    <d v="2022-02-07T00:00:00"/>
    <s v="Jan"/>
    <m/>
    <n v="18"/>
    <n v="18"/>
    <s v="G"/>
    <s v="FUNCIONAMIENTO"/>
    <s v="300-AO-1523-2022"/>
    <d v="2022-01-28T00:00:00"/>
    <n v="299483180"/>
    <s v="DBO INGENIERIA LTDA"/>
    <m/>
    <n v="33736400"/>
    <m/>
    <m/>
    <s v="N/A"/>
    <s v="N/A"/>
    <m/>
    <s v="ACOPI"/>
    <s v="YUMBO"/>
    <m/>
    <n v="0.10124375044227593"/>
    <n v="1"/>
    <n v="1"/>
  </r>
  <r>
    <n v="75"/>
    <s v="0075"/>
    <s v="GUENAA"/>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s v="Jan"/>
    <m/>
    <n v="15"/>
    <n v="15"/>
    <s v="G"/>
    <s v="FUNCIONAMIENTO"/>
    <s v="300-AO-1337-2022"/>
    <d v="2022-01-27T00:00:00"/>
    <n v="51766000"/>
    <s v="TALLERES BRIG LTDA"/>
    <m/>
    <n v="0"/>
    <m/>
    <m/>
    <s v="N/A"/>
    <s v="N/A"/>
    <m/>
    <s v="CALI"/>
    <s v="LOCAL"/>
    <m/>
    <n v="0"/>
    <n v="1"/>
    <n v="1"/>
  </r>
  <r>
    <n v="76"/>
    <s v="0076"/>
    <s v="GUENAA"/>
    <d v="2022-01-20T00:00:00"/>
    <x v="1"/>
    <s v="GAA0631"/>
    <s v="FR-300-GAA-0024-2022"/>
    <s v="N/A"/>
    <s v="Reposición redes alcantarillado barrio La Paz Comuna 02"/>
    <n v="130669738"/>
    <s v="6 meses"/>
    <s v="900-IP-0099-2022"/>
    <m/>
    <n v="202201924"/>
    <n v="13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2-2022"/>
    <d v="2022-01-27T00:00:00"/>
    <n v="128331708"/>
    <s v="HABILIDADES ESATRUCTURALES EN INGENIERIA  LTDA"/>
    <m/>
    <n v="2338030"/>
    <m/>
    <m/>
    <s v="N/A"/>
    <s v="N/A"/>
    <m/>
    <s v="BUENAVENTURA"/>
    <s v="REGIONAL"/>
    <m/>
    <n v="1.789266616574987E-2"/>
    <n v="1"/>
    <n v="1"/>
  </r>
  <r>
    <n v="77"/>
    <s v="0077"/>
    <s v="GUENAA"/>
    <d v="2022-01-20T00:00:00"/>
    <x v="1"/>
    <s v="GAA0634"/>
    <s v="FR-300-GAA-0023-2022"/>
    <s v="N/A"/>
    <s v="Reposición redes alcantarillado barrios Navarro La Chanca"/>
    <n v="213249448"/>
    <s v="2 meses"/>
    <s v="900-IP-0097-2021"/>
    <m/>
    <n v="202201928"/>
    <n v="21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s v="Jan"/>
    <m/>
    <n v="18"/>
    <n v="18"/>
    <s v="G"/>
    <s v="INVERSION"/>
    <s v="300-AO-1331-2022"/>
    <d v="2022-01-27T00:00:00"/>
    <n v="210626684"/>
    <s v="PROYECTOS Y CONSTRUCCIONES DEL PACIFICO SAS"/>
    <m/>
    <n v="2622764"/>
    <m/>
    <m/>
    <s v="N/A"/>
    <s v="N/A"/>
    <m/>
    <s v="BUENAVENTURA"/>
    <s v="REGIONAL"/>
    <m/>
    <n v="1.2299042387204679E-2"/>
    <n v="1"/>
    <n v="1"/>
  </r>
  <r>
    <n v="78"/>
    <s v="0078"/>
    <s v="GUENAA"/>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s v="VIAGNERY LOPEZ"/>
    <d v="2022-01-20T00:00:00"/>
    <m/>
    <m/>
    <m/>
    <s v="Entregado al area"/>
    <x v="1"/>
    <s v="24 de enero en invitacion a ofertar_x000a_26 de enero en aceptacion_x000a_27 de enero en solicitud de polizas y rp"/>
    <m/>
    <d v="2022-02-08T00:00:00"/>
    <s v="Jan"/>
    <m/>
    <n v="19"/>
    <n v="19"/>
    <s v="G"/>
    <s v="FUNCIONAMIENTO"/>
    <s v="300-AO-1309-2022"/>
    <d v="2022-01-27T00:00:00"/>
    <n v="211031794"/>
    <s v="TECNISERICIOS DEL CENTRO DEL VALLE SAS"/>
    <m/>
    <n v="2008036"/>
    <m/>
    <m/>
    <s v="N/A"/>
    <s v="N/A"/>
    <m/>
    <s v="TULUA"/>
    <s v="REGIONAL"/>
    <m/>
    <n v="9.4256365112570725E-3"/>
    <n v="1"/>
    <n v="1"/>
  </r>
  <r>
    <n v="79"/>
    <s v="0079"/>
    <s v="GUENAA"/>
    <d v="2022-01-20T00:00:00"/>
    <x v="1"/>
    <s v="GAA0352"/>
    <s v="FR-300-GAA-0008-2022"/>
    <s v="N/A"/>
    <s v="Efectuar la limpieza por barrido de los Sumideros de la Ciudad de Cali"/>
    <n v="828849251"/>
    <s v="10 meses"/>
    <s v="900-IP-0104-2022"/>
    <m/>
    <n v="202200911"/>
    <n v="828850425"/>
    <s v="N/A"/>
    <s v="N/A"/>
    <m/>
    <x v="2"/>
    <s v="VIAGNERY LOPEZ"/>
    <d v="2022-01-20T00:00:00"/>
    <m/>
    <m/>
    <m/>
    <s v="Entregado al area"/>
    <x v="1"/>
    <s v="24 de enero en invitacion a ofertar_x000a_26 de enero en aceptacion_x000a_27 de enero en solicitud de polizas y rp"/>
    <m/>
    <d v="2022-02-02T00:00:00"/>
    <s v="Jan"/>
    <m/>
    <n v="13"/>
    <n v="13"/>
    <s v="M"/>
    <s v="FUNCIONAMIENTO"/>
    <s v="300-AO-1319-2022"/>
    <d v="2022-01-27T00:00:00"/>
    <n v="828709808"/>
    <s v="FUNDACION CENTRO ESPECIALIZADO EN SOLUCIONES Y ADMINISTRACION RECURSOS- FUNDACESAR"/>
    <m/>
    <n v="139443"/>
    <m/>
    <m/>
    <s v="N/A"/>
    <s v="N/A"/>
    <m/>
    <s v="CALI"/>
    <s v="LOCAL"/>
    <m/>
    <n v="1.6823686554794269E-4"/>
    <n v="1"/>
    <n v="1"/>
  </r>
  <r>
    <n v="80"/>
    <s v="0080"/>
    <s v="GUENAA"/>
    <d v="2022-01-20T00:00:00"/>
    <x v="1"/>
    <s v="GAA0354"/>
    <s v="FR-300-GAA-0006-2022"/>
    <s v="N/A"/>
    <s v="Mnatenimiento de las lagunas Charco Azul y El Pondaje."/>
    <n v="430492113"/>
    <s v="10 meses"/>
    <s v="900-IP-0085-2022"/>
    <m/>
    <n v="202200913"/>
    <n v="444639048"/>
    <s v="N/A"/>
    <s v="N/A"/>
    <m/>
    <x v="2"/>
    <s v="JUAN PABLO QUIMBAYO"/>
    <d v="2022-01-20T00:00:00"/>
    <m/>
    <m/>
    <m/>
    <s v="Entregado al area"/>
    <x v="1"/>
    <s v="21 de enero en cotizaciones_x000a_24 DE ENERO EN INVITACION A OFERTAR_x000a_26 de enero para firma de la aceptacion de la oferta_x000a_27 de enero en Rp y polizas"/>
    <m/>
    <d v="2022-02-04T00:00:00"/>
    <s v="Jan"/>
    <m/>
    <n v="15"/>
    <n v="15"/>
    <s v="G"/>
    <s v="G"/>
    <s v="300-AO-1329-2022"/>
    <d v="2022-01-27T00:00:00"/>
    <n v="430491890"/>
    <s v="FUNDACION CENTRO ESPECIALIZADO EN SOLUCIONES Y ADMINISTRACION RECURSOS- FUNDACESAR"/>
    <m/>
    <n v="223"/>
    <m/>
    <m/>
    <s v="N/A"/>
    <s v="N/A"/>
    <m/>
    <s v="CALI"/>
    <s v="LOCAL"/>
    <m/>
    <n v="5.1801181314557556E-7"/>
    <n v="1"/>
    <n v="1"/>
  </r>
  <r>
    <n v="81"/>
    <s v="0081"/>
    <s v="GUENAA"/>
    <d v="2022-01-20T00:00:00"/>
    <x v="1"/>
    <s v="GAA0353"/>
    <s v="FR-300-GAA-0009-2022"/>
    <s v="N/A"/>
    <s v="Efectuar el aseo y limpieza de canales a mano de la ciudad de Cali."/>
    <n v="553875968"/>
    <s v="10 meses"/>
    <s v="900-IP-0084-2022"/>
    <m/>
    <n v="202200912"/>
    <n v="553885500"/>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10T00:00:00"/>
    <s v="Jan"/>
    <m/>
    <n v="21"/>
    <n v="21"/>
    <s v="M"/>
    <s v="FUNCIONAMIENTO"/>
    <s v="300-AO-1315-2022"/>
    <d v="2022-01-27T00:00:00"/>
    <n v="553859106"/>
    <s v="FUNDACION CALI BRILLA SOL Y LUNA ONG"/>
    <m/>
    <n v="16862"/>
    <m/>
    <m/>
    <s v="N/A"/>
    <s v="N/A"/>
    <m/>
    <s v="CALI"/>
    <s v="LOCAL"/>
    <m/>
    <n v="3.0443638962866141E-5"/>
    <n v="1"/>
    <n v="1"/>
  </r>
  <r>
    <n v="82"/>
    <s v="0082"/>
    <s v="GUENE"/>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s v="LAURA PIMIENTA"/>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s v="Jan"/>
    <m/>
    <n v="19"/>
    <n v="18"/>
    <s v="C"/>
    <s v="OPERACIÓN"/>
    <s v="500-AO-1473-2022"/>
    <d v="2022-01-28T00:00:00"/>
    <n v="1479300867"/>
    <s v="ELECTRO SOFTWARE SAS BIC"/>
    <m/>
    <n v="500"/>
    <m/>
    <m/>
    <s v="N/A"/>
    <s v="N/A"/>
    <m/>
    <s v="BU1CARAMANGA"/>
    <s v="NACIONAL"/>
    <m/>
    <n v="3.3799738927706944E-7"/>
    <n v="1"/>
    <n v="1"/>
  </r>
  <r>
    <n v="83"/>
    <s v="0083"/>
    <s v="GUENE"/>
    <d v="2022-01-20T00:00:00"/>
    <x v="1"/>
    <s v="GE0229"/>
    <s v="FR-500-GE-0123-2022"/>
    <s v="N/A"/>
    <s v="Suministro de Fusibles de T de Media Tension."/>
    <n v="27612284"/>
    <m/>
    <s v="900-IP-0111-2022"/>
    <s v="IP-"/>
    <n v="202201998"/>
    <m/>
    <s v="N/A"/>
    <s v="N/A"/>
    <s v="N/A"/>
    <x v="2"/>
    <s v="SILVIA GALINDO"/>
    <d v="2022-01-20T00:00:00"/>
    <e v="#VALUE!"/>
    <e v="#VALUE!"/>
    <s v="NO"/>
    <s v="Devuelto"/>
    <x v="2"/>
    <m/>
    <s v="24 DE ENERO EN COTIZACIONES_x000a_26 de enero en elaboracion de fpa e invitacion_x000a_28 DE ENERO EN ELABORACION DE LA FPA"/>
    <d v="2022-01-28T00:00:00"/>
    <m/>
    <s v="ene"/>
    <n v="8"/>
    <n v="8"/>
    <s v="G"/>
    <s v="FUNCIONAMIENTO"/>
    <m/>
    <m/>
    <m/>
    <m/>
    <m/>
    <n v="27612284"/>
    <m/>
    <m/>
    <m/>
    <m/>
    <m/>
    <m/>
    <m/>
    <m/>
    <m/>
    <n v="1"/>
    <m/>
  </r>
  <r>
    <n v="84"/>
    <s v="0084"/>
    <s v="GUENAA"/>
    <d v="2022-01-21T00:00:00"/>
    <x v="1"/>
    <s v="GAA0640"/>
    <s v="FR-300-GAA-0020-2022"/>
    <s v="N/A"/>
    <s v="Reposición redes alcantarillado barrio La Merced"/>
    <n v="492062894"/>
    <s v="6 meses"/>
    <s v="900-IP-0122-2022"/>
    <m/>
    <n v="202201920"/>
    <n v="495000000"/>
    <s v="N/A"/>
    <s v="N/A"/>
    <m/>
    <x v="2"/>
    <s v="VIAGNERY LOPEZ"/>
    <d v="2022-01-21T00:00:00"/>
    <m/>
    <m/>
    <m/>
    <s v="Entregado al area"/>
    <x v="1"/>
    <s v="24 de enero en invitacion a ofertar_x000a_26 de enero en aceptacion_x000a_27 de enero en solicitud de polizas y rp"/>
    <m/>
    <d v="2022-02-03T00:00:00"/>
    <s v="Jan"/>
    <m/>
    <n v="13"/>
    <n v="13"/>
    <s v="G"/>
    <s v="INVERSION"/>
    <s v="300-AO-1320-2022"/>
    <d v="2022-01-27T00:00:00"/>
    <n v="488670524"/>
    <s v="CMO CONTRATISTAS MANO DE OBRA SAS"/>
    <m/>
    <n v="3392370"/>
    <m/>
    <m/>
    <m/>
    <m/>
    <m/>
    <s v="CALI"/>
    <s v="LOCAL"/>
    <m/>
    <n v="6.8941796696419871E-3"/>
    <n v="1"/>
    <n v="1"/>
  </r>
  <r>
    <n v="85"/>
    <s v="0085"/>
    <s v="GAGHA"/>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s v="LEIDY DIANA FRANCO"/>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m/>
    <s v="ene"/>
    <n v="7"/>
    <n v="2"/>
    <s v="G"/>
    <s v="FUNCIONAMIENTO"/>
    <m/>
    <m/>
    <m/>
    <m/>
    <m/>
    <n v="500000000"/>
    <m/>
    <m/>
    <m/>
    <m/>
    <m/>
    <m/>
    <m/>
    <m/>
    <m/>
    <n v="0"/>
    <m/>
  </r>
  <r>
    <n v="86"/>
    <s v="0086"/>
    <s v="GUENAA"/>
    <d v="2022-01-21T00:00:00"/>
    <x v="1"/>
    <s v="GAA0345"/>
    <s v="FR-300-GAA-0032-2022"/>
    <s v="N/A"/>
    <s v="Monitoreo de vertimientos finales al sistema de drenaje de la ciudad de Cali."/>
    <n v="369071937"/>
    <s v="240 dias"/>
    <s v="900-IP-0127-2022"/>
    <m/>
    <n v="202201968"/>
    <n v="37110000"/>
    <s v="N/A"/>
    <s v="N/A"/>
    <m/>
    <x v="2"/>
    <s v="JULIO GARCIA"/>
    <d v="2022-01-21T00:00:00"/>
    <m/>
    <m/>
    <m/>
    <s v="Entregado al area"/>
    <x v="1"/>
    <s v="24 de enero en recepcion de cotizaciones_x000a_26 DE ENERO EN ELABORACION DE LA  EVALUACION _x000a_28 de enero para firma de la aceptacion"/>
    <m/>
    <d v="2022-02-07T00:00:00"/>
    <s v="Jan"/>
    <m/>
    <n v="17"/>
    <n v="17"/>
    <s v="G"/>
    <s v="FUNCIONAMIENTO"/>
    <s v="300-AO-1524-2022"/>
    <d v="2022-01-26T00:00:00"/>
    <n v="358665166"/>
    <s v="DBO INGENIERIA LTDA"/>
    <m/>
    <n v="10406771"/>
    <m/>
    <m/>
    <s v="N/A"/>
    <s v="N//A"/>
    <m/>
    <s v="ACOPI"/>
    <s v="MUNICIPAL"/>
    <m/>
    <n v="2.8197134370582067E-2"/>
    <n v="1"/>
    <n v="1"/>
  </r>
  <r>
    <n v="87"/>
    <s v="0087"/>
    <s v="GUENT"/>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s v="ANA MARIA GIL"/>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s v="Jan"/>
    <m/>
    <n v="19"/>
    <n v="19"/>
    <s v="G"/>
    <s v="FUNCIONAMIENTO"/>
    <s v="400-AO-1376-2022"/>
    <d v="2022-01-27T00:00:00"/>
    <n v="143641925"/>
    <s v="SUMINISTROS Y SERVICIOS TECNICOS SOCIEDAD  POR ACCIONES SIMPLICADA SAS"/>
    <m/>
    <n v="119075"/>
    <m/>
    <m/>
    <m/>
    <m/>
    <m/>
    <s v="CALI"/>
    <s v="LOCAL"/>
    <m/>
    <n v="8.2828444432078241E-4"/>
    <n v="1"/>
    <n v="1"/>
  </r>
  <r>
    <n v="88"/>
    <s v="0088"/>
    <s v="GUENE"/>
    <d v="2022-01-24T00:00:00"/>
    <x v="1"/>
    <s v="GE0298"/>
    <s v="FR-500-GE-0109-2022"/>
    <s v="N/A"/>
    <s v="Suministro de Medidores de Energía Electronicos Monofasico-Bifasico-Trifasico para Medida Directa."/>
    <n v="399937342"/>
    <s v="120 dias"/>
    <s v="900-IP-0125-2022"/>
    <m/>
    <n v="202202112"/>
    <n v="399937342"/>
    <s v="N/A"/>
    <s v="N/A"/>
    <m/>
    <x v="2"/>
    <s v="JUAN PABLO QUIMBAYO"/>
    <d v="2022-01-24T00:00:00"/>
    <m/>
    <m/>
    <m/>
    <s v="Entregado al area"/>
    <x v="1"/>
    <s v="26 de enero en revision de la  evaluacion_x000a_27 de enero en Rp y polizas"/>
    <m/>
    <d v="2022-02-09T00:00:00"/>
    <s v="Jan"/>
    <m/>
    <n v="16"/>
    <n v="16"/>
    <s v="G"/>
    <s v="OPERACIÓN"/>
    <s v="500-AO-1323-2022"/>
    <d v="2022-01-27T00:00:00"/>
    <n v="399912352"/>
    <s v="INDUSTRIAL ELECTRICA DEL CAUCA SAS"/>
    <m/>
    <n v="24990"/>
    <m/>
    <m/>
    <s v="2021-392"/>
    <d v="2022-01-04T00:00:00"/>
    <m/>
    <s v="CALI"/>
    <s v="LOCAL"/>
    <m/>
    <n v="6.2484787929605235E-5"/>
    <n v="1"/>
    <n v="1"/>
  </r>
  <r>
    <n v="89"/>
    <s v="0089"/>
    <s v="GUENE"/>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s v="JUAN PABLO QUIMBAYO"/>
    <d v="2022-01-24T00:00:00"/>
    <m/>
    <m/>
    <m/>
    <s v="Entregado al area"/>
    <x v="1"/>
    <s v="26 de enero en revision de la  evaluacion_x000a_27 de enero en Rp y polizas"/>
    <m/>
    <d v="2022-02-03T00:00:00"/>
    <s v="Jan"/>
    <m/>
    <n v="10"/>
    <n v="10"/>
    <s v="G"/>
    <s v="INVERSION"/>
    <s v="500-AO-1333-2022"/>
    <d v="2022-01-27T00:00:00"/>
    <n v="485124920"/>
    <s v="POTENCIA Y TECNOLOGIAS INCORPORADAS SA"/>
    <m/>
    <n v="13962665"/>
    <m/>
    <m/>
    <m/>
    <m/>
    <m/>
    <s v="CALI"/>
    <s v="LOCAL"/>
    <m/>
    <n v="2.7976382141423135E-2"/>
    <n v="1"/>
    <n v="1"/>
  </r>
  <r>
    <n v="90"/>
    <s v="0090"/>
    <s v="GUENT"/>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s v="MARIO AREVALO"/>
    <d v="2022-01-21T00:00:00"/>
    <m/>
    <m/>
    <m/>
    <s v="Entregado al area"/>
    <x v="1"/>
    <s v="26 DE ENERO EN REVISION DE LA INVITACION Y FPA_x000a_28 DE ENERO EN REVISION DE LA EVALUACION"/>
    <m/>
    <d v="2022-02-11T00:00:00"/>
    <s v="Jan"/>
    <m/>
    <n v="21"/>
    <n v="21"/>
    <s v="C"/>
    <s v="INVERSION"/>
    <s v="400-AO-1470-2022"/>
    <d v="2022-01-28T00:00:00"/>
    <n v="399966126"/>
    <s v="COLBITS SAS"/>
    <m/>
    <n v="0"/>
    <m/>
    <m/>
    <s v="N/A"/>
    <s v="N/A"/>
    <m/>
    <s v="CALI"/>
    <s v="LOCAL"/>
    <m/>
    <n v="0"/>
    <n v="1"/>
    <n v="1"/>
  </r>
  <r>
    <n v="91"/>
    <s v="0091"/>
    <s v="GUENE"/>
    <d v="2022-01-24T00:00:00"/>
    <x v="1"/>
    <s v="GE0256"/>
    <s v="FR-500-GE-0128-2022"/>
    <s v="N/A"/>
    <s v="Realizar mediciones ambientales de ruido y de campos electromagnéticos en subestaciones de energía y lineas de Subtransmisión a 115 Kv."/>
    <n v="26610066"/>
    <m/>
    <s v="900-IP-0136-2022"/>
    <s v="IP-"/>
    <n v="202202106"/>
    <m/>
    <s v="N/A"/>
    <s v="N/A"/>
    <s v="N/A"/>
    <x v="2"/>
    <s v="JHON LARRY "/>
    <d v="2022-01-24T00:00:00"/>
    <e v="#VALUE!"/>
    <e v="#VALUE!"/>
    <s v="NO"/>
    <s v="Devuelto"/>
    <x v="2"/>
    <m/>
    <s v="26 DE ENERO EN COTIZACIONES_x000a_28 de enero en solicitud de cotizaciones "/>
    <d v="2022-02-17T00:00:00"/>
    <m/>
    <s v="feb"/>
    <n v="24"/>
    <n v="24"/>
    <s v="G"/>
    <s v="FUNCIONAMIENTO"/>
    <m/>
    <m/>
    <m/>
    <m/>
    <m/>
    <n v="26610066"/>
    <m/>
    <m/>
    <m/>
    <m/>
    <m/>
    <m/>
    <m/>
    <m/>
    <m/>
    <n v="1"/>
    <m/>
  </r>
  <r>
    <n v="92"/>
    <s v="0092"/>
    <s v="GUENE"/>
    <d v="2022-01-24T00:00:00"/>
    <x v="1"/>
    <s v="GE0305"/>
    <s v="FR-500-GE-0118-2022"/>
    <s v="N/A"/>
    <s v="Suministro de CONECTORES Y condiciones  técnicas. GRAPAS"/>
    <n v="70583125"/>
    <s v="31 de diciembre 2022"/>
    <s v="_x000a_900-IP-0157-2021_x000a_"/>
    <m/>
    <n v="202201916"/>
    <n v="152821240"/>
    <s v="N/A"/>
    <s v="N/A"/>
    <m/>
    <x v="2"/>
    <s v="LINA ECHAVARRIA"/>
    <d v="2022-01-24T00:00:00"/>
    <m/>
    <m/>
    <m/>
    <s v="Entregado al area"/>
    <x v="1"/>
    <s v="26 DE ENERO EN ELABORACION DE LA FPA E INVITACION_x000a_28 DE ENERO EN REVISION DE LA INVITACION "/>
    <m/>
    <d v="2022-02-08T00:00:00"/>
    <s v="Jan"/>
    <m/>
    <n v="15"/>
    <n v="15"/>
    <s v="G"/>
    <s v="OPERACIÓN_x000a_FUNCIONAMIENTO_x000a_INVERSION"/>
    <s v="500-AO-1508-2022"/>
    <d v="2022-01-28T00:00:00"/>
    <n v="70583125"/>
    <s v="ELECTRICOS DEL VALLE SA"/>
    <m/>
    <n v="0"/>
    <m/>
    <m/>
    <s v="2022-024"/>
    <d v="2022-01-19T00:00:00"/>
    <m/>
    <s v="CALI"/>
    <s v="LOCAL"/>
    <m/>
    <n v="0"/>
    <n v="1"/>
    <n v="1"/>
  </r>
  <r>
    <n v="93"/>
    <s v="0093"/>
    <s v="GAGHA"/>
    <d v="2022-01-24T00:00:00"/>
    <x v="1"/>
    <s v="GHA0013"/>
    <s v="FR-800-GAGHA-0080-2022"/>
    <s v="N/A"/>
    <s v="Elaborar y entregar recordatorios y botones fundidos y grabados con el logo de EMCALI EICE ESP."/>
    <n v="13301761"/>
    <m/>
    <m/>
    <s v=""/>
    <n v="202201822"/>
    <m/>
    <s v="N/A"/>
    <s v="N/A"/>
    <s v="N/A"/>
    <x v="3"/>
    <s v="MARIO AREVALO"/>
    <d v="2022-01-24T00:00:00"/>
    <e v="#VALUE!"/>
    <e v="#VALUE!"/>
    <s v="NO"/>
    <s v="Devuelto"/>
    <x v="2"/>
    <m/>
    <s v="26 DE ENERO EN REVISION DE LA INVITACION Y FPA_x000a_28 DE ENERO EN REVISION DE LA INVITACION"/>
    <d v="2022-01-28T00:00:00"/>
    <m/>
    <s v="ene"/>
    <n v="4"/>
    <n v="4"/>
    <s v="G"/>
    <s v="FUNCIONAMIENTO"/>
    <m/>
    <m/>
    <m/>
    <m/>
    <m/>
    <n v="13301761"/>
    <m/>
    <m/>
    <m/>
    <m/>
    <m/>
    <m/>
    <m/>
    <m/>
    <m/>
    <n v="0"/>
    <m/>
  </r>
  <r>
    <n v="94"/>
    <s v="0094"/>
    <s v="GTI"/>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s v="PABLO CAICEDO"/>
    <d v="2022-01-24T00:00:00"/>
    <m/>
    <m/>
    <m/>
    <s v="Entregado al area"/>
    <x v="1"/>
    <s v="26 de enero en recepcion de ofertas_x000a_28 DE ENERO EN ELABORACION DE LA EVALUACION"/>
    <m/>
    <d v="2022-02-11T00:00:00"/>
    <s v="Jan"/>
    <m/>
    <n v="18"/>
    <n v="18"/>
    <s v="G"/>
    <s v="FUNCIONAMIENTO"/>
    <s v="200-AO-1516-2022"/>
    <d v="2022-01-28T00:00:00"/>
    <n v="294000000"/>
    <s v="NEURO MEDIA SAS"/>
    <m/>
    <n v="6000000"/>
    <m/>
    <m/>
    <s v="N/A"/>
    <s v="N/A"/>
    <m/>
    <s v="CALI"/>
    <s v="LOCAL"/>
    <m/>
    <n v="0.02"/>
    <n v="0"/>
    <n v="1"/>
  </r>
  <r>
    <n v="95"/>
    <s v="0095"/>
    <s v="GTI"/>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s v="PABLO CAICEDO"/>
    <d v="2022-01-21T00:00:00"/>
    <m/>
    <m/>
    <m/>
    <s v="Entregado al area"/>
    <x v="1"/>
    <s v="26 de enero en recepcion de ofertas_x000a_28 DE ENERO EN ELABORACION DE LA EVALUACION_x000a_solicitud de numeracion"/>
    <m/>
    <d v="2022-02-08T00:00:00"/>
    <s v="Jan"/>
    <m/>
    <n v="18"/>
    <n v="18"/>
    <s v="G"/>
    <s v="FUNCIONAMIENTO"/>
    <s v="200-AO-1517-2022"/>
    <d v="2022-01-28T00:00:00"/>
    <n v="264903916"/>
    <s v="SUNTIC SAS"/>
    <m/>
    <n v="1"/>
    <m/>
    <m/>
    <s v="N/A"/>
    <s v="N/A"/>
    <m/>
    <s v="CALI"/>
    <s v="LOCAL"/>
    <m/>
    <n v="3.7749536183717509E-9"/>
    <n v="0"/>
    <n v="1"/>
  </r>
  <r>
    <n v="96"/>
    <s v="0096"/>
    <s v="GTI"/>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s v="PABLO CAICEDO"/>
    <d v="2022-01-21T00:00:00"/>
    <m/>
    <m/>
    <m/>
    <s v="Entregado al area"/>
    <x v="1"/>
    <s v="26 de enero para la revision de la fpa e invitacion_x000a_28 DE ENERO EN EVALUACION"/>
    <m/>
    <d v="2022-02-08T00:00:00"/>
    <s v="Jan"/>
    <m/>
    <n v="18"/>
    <n v="18"/>
    <s v="G"/>
    <s v="FUNCIONAMIENTO"/>
    <s v="200-AO-1518-2022"/>
    <d v="2022-01-28T00:00:00"/>
    <n v="482264000"/>
    <s v="OPTIMAL TECHNOLOGY SAS"/>
    <m/>
    <n v="17726420"/>
    <m/>
    <m/>
    <s v="N/A"/>
    <s v="N/A"/>
    <m/>
    <s v="CALI"/>
    <s v="LOCAL"/>
    <m/>
    <n v="3.5453519289429587E-2"/>
    <n v="0"/>
    <n v="1"/>
  </r>
  <r>
    <n v="97"/>
    <s v="0097"/>
    <s v="GTI"/>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s v="PABLO CAICEDO"/>
    <d v="2022-01-21T00:00:00"/>
    <m/>
    <m/>
    <m/>
    <s v="Entregado al area"/>
    <x v="1"/>
    <s v="26 de enero para firma de la aceptacion de la oferta_x000a_28 DE ENERO EN RP Y POLIZAS"/>
    <m/>
    <d v="2022-02-07T00:00:00"/>
    <s v="Jan"/>
    <m/>
    <n v="17"/>
    <n v="17"/>
    <s v="C"/>
    <s v="FUNCIONAMIENTO"/>
    <s v="200-AO-1339-2022"/>
    <d v="2022-01-27T00:00:00"/>
    <n v="940997260"/>
    <s v="COLBITS SAS"/>
    <m/>
    <n v="2740"/>
    <m/>
    <m/>
    <s v="N/A"/>
    <s v="N/A"/>
    <m/>
    <s v="CALI"/>
    <s v="LOCAL"/>
    <m/>
    <n v="2.9117959617428266E-6"/>
    <n v="0"/>
    <n v="1"/>
  </r>
  <r>
    <n v="98"/>
    <s v="0098"/>
    <s v="GTI"/>
    <d v="2022-01-21T00:00:00"/>
    <x v="1"/>
    <s v="GTI0026_x000a_GTI0047"/>
    <s v="FR-200-GTI-0072-2022"/>
    <s v="N/A"/>
    <s v="Servicio en la Nube (SAAS) de los aplicativos ARIBA Y SUCCES FACTOR."/>
    <n v="808425155"/>
    <s v="60 dias"/>
    <s v="900-IP-0148-2022"/>
    <m/>
    <s v="202201948_x000a_202201950"/>
    <n v="808425155"/>
    <s v="N/A"/>
    <s v="N/A"/>
    <m/>
    <x v="2"/>
    <s v="PABLO CAICEDO"/>
    <d v="2022-01-21T00:00:00"/>
    <m/>
    <m/>
    <m/>
    <s v="Entregado al area"/>
    <x v="1"/>
    <s v="26 DE ENERO EN COTIZACIONES_x000a_28 DE ENERO EN RECEPCION DE OFERTAS"/>
    <m/>
    <d v="2022-02-10T00:00:00"/>
    <s v="Jan"/>
    <m/>
    <n v="20"/>
    <n v="20"/>
    <s v="C"/>
    <s v="FUNCIONAMIENTO"/>
    <s v="200-AO-1520-2022"/>
    <d v="2022-01-28T00:00:00"/>
    <n v="808425138"/>
    <s v="SAP COLOMBIA SAS"/>
    <m/>
    <n v="17"/>
    <m/>
    <m/>
    <s v="N/A"/>
    <s v="N/A"/>
    <m/>
    <s v="BOGOTA"/>
    <s v="NACIONAL"/>
    <m/>
    <n v="2.1028539123080602E-8"/>
    <n v="0"/>
    <n v="1"/>
  </r>
  <r>
    <n v="99"/>
    <s v="0099"/>
    <s v="GTI"/>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s v="PABLO CAICEDO"/>
    <d v="2022-01-21T00:00:00"/>
    <m/>
    <m/>
    <m/>
    <s v="Entregado al area"/>
    <x v="1"/>
    <s v="26 de enero en recepcion de ofertas"/>
    <m/>
    <d v="2022-02-08T00:00:00"/>
    <s v="Jan"/>
    <m/>
    <n v="18"/>
    <n v="18"/>
    <s v="C"/>
    <s v="FUNCIONAMIENTO"/>
    <s v="200-AO-1514-2022"/>
    <d v="2022-01-28T00:00:00"/>
    <n v="348700000"/>
    <s v="ANDINA LIFE SAS"/>
    <m/>
    <n v="998036"/>
    <m/>
    <m/>
    <s v="N/A"/>
    <s v="N/A"/>
    <m/>
    <s v="BOGOTA"/>
    <s v="NACIONAL"/>
    <m/>
    <n v="2.8539937238881148E-3"/>
    <n v="0"/>
    <n v="1"/>
  </r>
  <r>
    <n v="100"/>
    <s v="0100"/>
    <s v="GTI"/>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s v="PABLO CAICEDO"/>
    <d v="2022-01-24T00:00:00"/>
    <m/>
    <m/>
    <m/>
    <s v="Entregado al area"/>
    <x v="1"/>
    <s v="26 DE ENERO EN ELABORACION DE LA FPA E INVITACION_x000a_28 DE ENERO EN ELBOTACION DE LA EVALUACION"/>
    <m/>
    <d v="2022-02-08T00:00:00"/>
    <s v="Jan"/>
    <m/>
    <n v="15"/>
    <n v="15"/>
    <s v="G"/>
    <s v="FUNCIONAMIENTO"/>
    <s v="200-AO-1519-2021"/>
    <d v="2022-01-28T00:00:00"/>
    <n v="447814074"/>
    <s v="GRUPOSIT SAS"/>
    <m/>
    <n v="2185926"/>
    <m/>
    <m/>
    <s v="N/A"/>
    <s v="N/A"/>
    <m/>
    <s v="CALI"/>
    <s v="LOCAL"/>
    <m/>
    <n v="4.8576133333333334E-3"/>
    <n v="0"/>
    <n v="1"/>
  </r>
  <r>
    <n v="101"/>
    <s v="0101"/>
    <s v="GAGHA"/>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s v="ANA MARIA GIL"/>
    <d v="2022-01-25T00:00:00"/>
    <m/>
    <m/>
    <m/>
    <s v="Entregado al area"/>
    <x v="1"/>
    <s v="26 de enero en recepcion de ofertas_x000a_278 de enero en evaluacion"/>
    <m/>
    <d v="2022-02-14T00:00:00"/>
    <s v="Jan"/>
    <m/>
    <n v="20"/>
    <n v="20"/>
    <s v="G"/>
    <s v="INVERSION"/>
    <s v="800-AO-1471-2022"/>
    <d v="2022-01-28T00:00:00"/>
    <n v="330227598"/>
    <s v="4L INGENIERIA SAS"/>
    <m/>
    <n v="5168189"/>
    <m/>
    <m/>
    <s v="N/A"/>
    <s v="N/A"/>
    <m/>
    <s v="MONTERIA"/>
    <s v="NACIONAL"/>
    <m/>
    <n v="1.5409224564886977E-2"/>
    <n v="0"/>
    <n v="1"/>
  </r>
  <r>
    <n v="102"/>
    <s v="0102"/>
    <s v="GUENE"/>
    <d v="2022-01-25T00:00:00"/>
    <x v="1"/>
    <s v="GE0310"/>
    <s v="FR-500-GE-0159-2022"/>
    <s v="N/A"/>
    <s v="Alquiler de una (1) Unidad Sanitaria Portatil (USP) con lavamanos en la Subestación Alferez"/>
    <n v="9282000"/>
    <s v="31 de diciembre 2022"/>
    <s v="900-IP-0138-2022"/>
    <m/>
    <n v="202202211"/>
    <n v="9282000"/>
    <s v="N/A"/>
    <s v="N/A"/>
    <m/>
    <x v="2"/>
    <s v="PAOLA BELTRAN"/>
    <d v="2022-01-25T00:00:00"/>
    <m/>
    <m/>
    <m/>
    <s v="Entregado al area"/>
    <x v="1"/>
    <s v="26 DE ENERO EN COTIZACIONES_x000a_28 DE ENERO EN INVITACION A OFERTAR_x000a_28 de enero en revision de la evaluacion"/>
    <m/>
    <d v="2022-02-11T00:00:00"/>
    <s v="Jan"/>
    <m/>
    <n v="17"/>
    <n v="17"/>
    <s v="G"/>
    <s v="FUNCIONAMIENTO"/>
    <s v="500-AO-1509-2022"/>
    <d v="2022-01-28T00:00:00"/>
    <n v="9281988"/>
    <s v="VC SAFETY COLOMBIA SAS"/>
    <m/>
    <n v="12"/>
    <m/>
    <m/>
    <s v="N/A"/>
    <s v="N/A"/>
    <m/>
    <s v="CALI"/>
    <s v="LOCAL"/>
    <m/>
    <n v="1.2928248222365869E-6"/>
    <n v="1"/>
    <n v="1"/>
  </r>
  <r>
    <n v="103"/>
    <s v="0103"/>
    <s v="GUENAA"/>
    <d v="2022-01-25T00:00:00"/>
    <x v="1"/>
    <s v="GAA0256"/>
    <s v="FR-300-GAA-0033-2022"/>
    <s v="N/A"/>
    <s v="Mantenimiento a sistema variador de velocidad PTAP Puerto Mallarino"/>
    <n v="120000000"/>
    <s v="2 meses"/>
    <s v="900-IP-0141-2022"/>
    <m/>
    <n v="202200889"/>
    <n v="120000000"/>
    <s v="N/A"/>
    <s v="N/A"/>
    <m/>
    <x v="2"/>
    <s v="VIAGNERY LOPEZ"/>
    <d v="2022-01-25T00:00:00"/>
    <m/>
    <m/>
    <m/>
    <s v="Entregado al area"/>
    <x v="1"/>
    <s v="26 de enero en recepcion de ofertas_x000a_27 de enero en solicitud de polizas y rp"/>
    <m/>
    <d v="2022-02-24T00:00:00"/>
    <s v="Jan"/>
    <m/>
    <n v="30"/>
    <n v="30"/>
    <s v="C"/>
    <s v="FUNCIONAMIENTO"/>
    <s v="300-AO-1364-2022"/>
    <d v="2022-01-27T00:00:00"/>
    <n v="120000000"/>
    <s v="ABB COLOMBIA LTDA"/>
    <m/>
    <n v="0"/>
    <m/>
    <m/>
    <s v="N/A"/>
    <s v="N/A"/>
    <m/>
    <s v="BOGOTA"/>
    <s v="NACIONAL"/>
    <m/>
    <n v="0"/>
    <n v="1"/>
    <n v="1"/>
  </r>
  <r>
    <n v="104"/>
    <s v="0104"/>
    <s v="GUENE"/>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s v="JHON LARRY "/>
    <d v="2022-01-26T00:00:00"/>
    <m/>
    <m/>
    <m/>
    <s v="Entregado al area"/>
    <x v="1"/>
    <s v="26 DE ENERO EN COTIZACIONES_x000a_28 de enero en recepion de ofertas_x000a_REVISION EVALUACION"/>
    <m/>
    <d v="2022-02-14T00:00:00"/>
    <s v="Jan"/>
    <m/>
    <n v="19"/>
    <n v="19"/>
    <s v="G"/>
    <s v="FUNCIONAMIENTO"/>
    <s v="500-AO-1522-2022"/>
    <d v="2022-01-28T00:00:00"/>
    <n v="7937249"/>
    <s v="SERCO SRVICIO Y SUMINISTRO QUIMICO LTDA"/>
    <m/>
    <n v="0"/>
    <m/>
    <m/>
    <s v="N/A"/>
    <s v="N/A"/>
    <m/>
    <s v="BOGOTA"/>
    <s v="NACIONAL"/>
    <m/>
    <n v="0"/>
    <n v="1"/>
    <n v="1"/>
  </r>
  <r>
    <n v="105"/>
    <s v="0105"/>
    <s v="GUENE"/>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s v="JUAN PABLO QUIMBAYO"/>
    <d v="2022-01-26T00:00:00"/>
    <m/>
    <m/>
    <m/>
    <s v="Entregado al area"/>
    <x v="1"/>
    <s v="26 de enero en cotizaciones_x000a_27 de enero en recepcion de ofertas"/>
    <m/>
    <d v="2022-02-04T00:00:00"/>
    <s v="Jan"/>
    <m/>
    <n v="9"/>
    <n v="9"/>
    <s v="G"/>
    <s v="FUNCIONAMIENTO"/>
    <s v="500-AO-1455-2022"/>
    <d v="2022-01-28T00:00:00"/>
    <n v="198881517"/>
    <s v="TMI DE COLOMBIALTDA"/>
    <m/>
    <n v="718701"/>
    <m/>
    <m/>
    <s v="N/A"/>
    <s v="N/A"/>
    <m/>
    <s v="PALMIRA "/>
    <s v="REGIONAL"/>
    <m/>
    <n v="3.600702480194686E-3"/>
    <n v="1"/>
    <n v="1"/>
  </r>
  <r>
    <n v="106"/>
    <s v="0106"/>
    <s v="GUENAA"/>
    <d v="2022-01-26T00:00:00"/>
    <x v="1"/>
    <s v="GE0231"/>
    <s v="FR-500-GE-0150-2022"/>
    <s v="N/A"/>
    <s v="Suministro de monitor administrador de temperatura de transformadores salida scada."/>
    <n v="71400000"/>
    <m/>
    <s v="900-IP-0144-2022"/>
    <s v="IP-"/>
    <n v="202202179"/>
    <m/>
    <s v="N/A"/>
    <s v="N/A"/>
    <s v="N/A"/>
    <x v="2"/>
    <s v="SILVIA GALINDO"/>
    <d v="2022-01-26T00:00:00"/>
    <e v="#VALUE!"/>
    <e v="#VALUE!"/>
    <s v="NO"/>
    <s v="Devuelto"/>
    <x v="2"/>
    <m/>
    <s v="26 de enero en cotizaciones_x000a_28 DE ENERO EN REVISION DE LA FPA E INVITACION"/>
    <d v="2022-01-28T00:00:00"/>
    <m/>
    <s v="ene"/>
    <n v="2"/>
    <n v="2"/>
    <s v="G"/>
    <s v="FUNCIONAMIENTO"/>
    <m/>
    <m/>
    <m/>
    <m/>
    <m/>
    <n v="71400000"/>
    <m/>
    <m/>
    <m/>
    <m/>
    <m/>
    <m/>
    <m/>
    <m/>
    <m/>
    <n v="1"/>
    <m/>
  </r>
  <r>
    <n v="107"/>
    <s v="0107"/>
    <s v="GUENAA"/>
    <d v="2022-01-26T00:00:00"/>
    <x v="1"/>
    <s v="GAA0265"/>
    <s v="FR-300-GAA-0031-2022"/>
    <s v="N/A"/>
    <s v="Lavado de los reservorios PTAP de Puerto Mallarino"/>
    <n v="164087782"/>
    <s v="7 meses"/>
    <s v="900-IP-0140-2022"/>
    <m/>
    <n v="202200894"/>
    <n v="164087782"/>
    <s v="N/A"/>
    <s v="N/A"/>
    <m/>
    <x v="2"/>
    <s v="VIAGNERY LOPEZ"/>
    <d v="2022-01-26T00:00:00"/>
    <m/>
    <m/>
    <m/>
    <s v="Entregado al area"/>
    <x v="1"/>
    <s v="24 de enero en recepcion de ofertas_x000a_27 de enero en solicitud de polizas y rp"/>
    <m/>
    <d v="2022-02-03T00:00:00"/>
    <s v="Jan"/>
    <m/>
    <n v="8"/>
    <n v="8"/>
    <s v="G"/>
    <s v="FUNCIONAMIENTO"/>
    <s v="300-AO-1321-2022"/>
    <d v="2022-01-28T00:00:00"/>
    <n v="162077952"/>
    <s v="ALQUILER Y CONSTRUCCIONES CARABALI SAS"/>
    <m/>
    <n v="2009830"/>
    <m/>
    <m/>
    <s v="N/A"/>
    <s v="N/A"/>
    <m/>
    <s v="CALI"/>
    <s v="LOCAL"/>
    <m/>
    <n v="1.2248504888682083E-2"/>
    <n v="1"/>
    <n v="1"/>
  </r>
  <r>
    <n v="108"/>
    <s v="0108"/>
    <s v="GTI"/>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s v="JULIO ERAZO"/>
    <d v="2022-01-26T00:00:00"/>
    <m/>
    <m/>
    <m/>
    <s v="Entregado al area"/>
    <x v="1"/>
    <s v="28 DE ENERO EN ELABORACION DE LA EVALUACION_x000a_en solicitud de RP "/>
    <m/>
    <d v="2022-02-15T00:00:00"/>
    <s v="Jan"/>
    <m/>
    <n v="20"/>
    <n v="20"/>
    <s v="G"/>
    <s v="FUNCIONAMIENTO"/>
    <s v="200-AO-1427-2022"/>
    <d v="2022-01-28T00:00:00"/>
    <n v="357779912"/>
    <s v="INTEGRATIC SAS"/>
    <m/>
    <n v="88"/>
    <m/>
    <m/>
    <s v="N/A"/>
    <s v="N/A"/>
    <m/>
    <s v="CALI"/>
    <s v="LOCAL"/>
    <m/>
    <n v="2.4596120520990555E-7"/>
    <n v="0"/>
    <n v="1"/>
  </r>
  <r>
    <n v="109"/>
    <s v="0109"/>
    <s v="GTI"/>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s v="JULIO ERAZO"/>
    <d v="2022-01-26T00:00:00"/>
    <m/>
    <m/>
    <m/>
    <s v="Entregado al area"/>
    <x v="1"/>
    <s v="28 DE ENERO EN ELABORACION DE LA EVALUACION_x000a_esperando numeracion de la aceptacion"/>
    <m/>
    <d v="2022-02-08T00:00:00"/>
    <s v="Jan"/>
    <m/>
    <n v="13"/>
    <n v="13"/>
    <s v="G"/>
    <s v="FUNCIONAMIENTO"/>
    <s v="200-AO-1477-2022"/>
    <d v="2022-01-28T00:00:00"/>
    <n v="185000000"/>
    <s v="BEST ENERGY SAS"/>
    <m/>
    <n v="0"/>
    <m/>
    <m/>
    <s v="N/A"/>
    <s v="N/A"/>
    <m/>
    <s v="CALI"/>
    <s v="LOCAL"/>
    <m/>
    <n v="0"/>
    <n v="0"/>
    <n v="1"/>
  </r>
  <r>
    <n v="110"/>
    <s v="0110"/>
    <s v="GUENAA"/>
    <d v="2022-01-26T00:00:00"/>
    <x v="1"/>
    <s v="GAA0108"/>
    <s v="FR-300-GAA-0034-2022"/>
    <s v="N/A"/>
    <s v="Levantamientos planimetricos y altimetricos topograficos año 2022, para proyectos priorizados GUENAA de acueducto y alcantarillado"/>
    <n v="119987700"/>
    <m/>
    <s v="900-IP-0153-2022"/>
    <s v="IP-"/>
    <n v="202201992"/>
    <m/>
    <s v="N/A"/>
    <s v="N/A"/>
    <s v="N/A"/>
    <x v="2"/>
    <s v="JHON LARRY "/>
    <d v="2022-01-26T00:00:00"/>
    <e v="#VALUE!"/>
    <e v="#VALUE!"/>
    <s v="NO"/>
    <s v="Devuelto"/>
    <x v="2"/>
    <m/>
    <s v="28 de enero en cotizaciones "/>
    <d v="2022-02-17T00:00:00"/>
    <m/>
    <s v="feb"/>
    <n v="22"/>
    <n v="22"/>
    <s v="G"/>
    <s v="FUNCIONAMIENTO"/>
    <m/>
    <m/>
    <m/>
    <m/>
    <m/>
    <n v="119987700"/>
    <m/>
    <m/>
    <m/>
    <m/>
    <m/>
    <m/>
    <m/>
    <m/>
    <m/>
    <n v="1"/>
    <m/>
  </r>
  <r>
    <n v="111"/>
    <s v="0111"/>
    <s v="GUENAA"/>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s v="JHON LARRY "/>
    <d v="2022-01-26T00:00:00"/>
    <e v="#VALUE!"/>
    <e v="#VALUE!"/>
    <s v="NO"/>
    <s v="Devuelto"/>
    <x v="2"/>
    <m/>
    <s v="28 de enero en cotizaciones "/>
    <d v="2022-01-28T00:00:00"/>
    <m/>
    <s v="ene"/>
    <n v="2"/>
    <n v="2"/>
    <s v="G"/>
    <s v="FUNCIONAMIENTO"/>
    <m/>
    <m/>
    <m/>
    <m/>
    <m/>
    <n v="99995700"/>
    <m/>
    <m/>
    <m/>
    <m/>
    <m/>
    <m/>
    <m/>
    <m/>
    <m/>
    <n v="1"/>
    <m/>
  </r>
  <r>
    <n v="112"/>
    <s v="0112"/>
    <s v="GTI"/>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s v="PABLO CAICEDO"/>
    <d v="2022-01-26T00:00:00"/>
    <e v="#VALUE!"/>
    <e v="#VALUE!"/>
    <s v="NO"/>
    <s v="Devuelto"/>
    <x v="2"/>
    <m/>
    <m/>
    <d v="2022-01-26T00:00:00"/>
    <m/>
    <s v="ene"/>
    <n v="0"/>
    <n v="0"/>
    <s v="G"/>
    <s v="FUNCIONAMIENTO"/>
    <m/>
    <m/>
    <m/>
    <m/>
    <m/>
    <n v="230000000"/>
    <m/>
    <m/>
    <m/>
    <m/>
    <m/>
    <m/>
    <m/>
    <m/>
    <m/>
    <n v="0"/>
    <m/>
  </r>
  <r>
    <n v="113"/>
    <s v="0113"/>
    <s v="GUENAA"/>
    <d v="2022-01-27T00:00:00"/>
    <x v="1"/>
    <s v="GAA0298"/>
    <s v="FR-300-GAA-0036-2022"/>
    <s v="N/A"/>
    <s v="Reparación de daños en red matriz mayores o iguales a 12&quot;"/>
    <n v="499993357"/>
    <s v="4 Meses"/>
    <s v="900-IP-0151-2022"/>
    <m/>
    <n v="202202301"/>
    <n v="500000000"/>
    <s v="N/A"/>
    <s v="N/A"/>
    <m/>
    <x v="2"/>
    <s v="VIAGNERY LOPEZ"/>
    <d v="2022-01-27T00:00:00"/>
    <m/>
    <m/>
    <m/>
    <s v="Entregado al area"/>
    <x v="1"/>
    <m/>
    <m/>
    <d v="2022-02-15T00:00:00"/>
    <s v="Jan"/>
    <m/>
    <n v="19"/>
    <n v="19"/>
    <s v="G"/>
    <s v="FUNCIONAMIENTO"/>
    <s v="300-AO-1343-2022"/>
    <d v="2022-01-27T00:00:00"/>
    <n v="497493391"/>
    <s v="CMO CONTRATISTAS MANO DE OBRA SAS"/>
    <m/>
    <n v="2499966"/>
    <m/>
    <m/>
    <s v="N/A"/>
    <s v="N/A"/>
    <m/>
    <s v="CALI"/>
    <s v="LOCAL"/>
    <m/>
    <n v="4.9999984299791411E-3"/>
    <n v="1"/>
    <n v="1"/>
  </r>
  <r>
    <n v="114"/>
    <s v="0114"/>
    <s v="GTI"/>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s v="PABLO CAICEDO"/>
    <d v="2022-01-27T00:00:00"/>
    <m/>
    <m/>
    <m/>
    <s v="Entregado al area"/>
    <x v="1"/>
    <s v="28 DE ENERO EN ELABOACION DE LA EVALUACION"/>
    <m/>
    <d v="2022-02-08T00:00:00"/>
    <s v="Jan"/>
    <m/>
    <n v="12"/>
    <n v="12"/>
    <s v="G"/>
    <s v="FUNCIONAMIENTO"/>
    <s v="200-AO-1515-2022"/>
    <d v="2022-01-28T00:00:00"/>
    <n v="385400000"/>
    <s v="OPTIMAL TECHNOLOGY SAS"/>
    <m/>
    <n v="4600000"/>
    <m/>
    <m/>
    <s v="N/A"/>
    <s v="N/A"/>
    <m/>
    <s v="CALI"/>
    <s v="LOCAL"/>
    <m/>
    <n v="1.1794871794871795E-2"/>
    <n v="0"/>
    <n v="1"/>
  </r>
  <r>
    <n v="115"/>
    <s v="0115"/>
    <s v="GAGHA"/>
    <d v="2022-01-27T00:00:00"/>
    <x v="1"/>
    <s v="GHA1600"/>
    <s v="FR-800-GAGHA-0095-2022"/>
    <s v="N/A"/>
    <s v="Compra de jabón líquido espumoso para manos"/>
    <n v="199992024"/>
    <s v="30 de julio 2022"/>
    <m/>
    <s v=""/>
    <n v="202201122"/>
    <n v="200571511"/>
    <s v="N/A"/>
    <s v="N/A"/>
    <s v="N/A"/>
    <x v="3"/>
    <s v="ANA MARIA GIL"/>
    <d v="2022-01-27T00:00:00"/>
    <e v="#VALUE!"/>
    <e v="#VALUE!"/>
    <s v="NO"/>
    <s v="Devuelto"/>
    <x v="2"/>
    <m/>
    <s v="28 de enero en elabroacion de fpa e invitacion_x000a_31 DE ENERO DEVUELTO AL AREA POR CUMPLIMIENTO DE PLAZO LEY DE GARANTIAS"/>
    <d v="2022-01-31T00:00:00"/>
    <m/>
    <s v="ene"/>
    <n v="4"/>
    <n v="4"/>
    <s v="G"/>
    <s v="FUNCIONAMIENTO"/>
    <m/>
    <m/>
    <m/>
    <m/>
    <m/>
    <n v="199992024"/>
    <m/>
    <m/>
    <m/>
    <m/>
    <m/>
    <m/>
    <m/>
    <m/>
    <m/>
    <n v="0"/>
    <m/>
  </r>
  <r>
    <n v="116"/>
    <s v="0116"/>
    <s v="GAGHA"/>
    <d v="2022-01-27T00:00:00"/>
    <x v="1"/>
    <s v="GHA0006"/>
    <s v="FR-800-GAGHA-0121-2022"/>
    <s v="N/A"/>
    <s v="Realizar piezas publicitarias para la campaña de comunicación del proyecto de implementación del sistema integral de gestión de activos SIGA."/>
    <n v="69888700"/>
    <m/>
    <m/>
    <s v=""/>
    <n v="202201939"/>
    <m/>
    <s v="N/A"/>
    <s v="N/A"/>
    <s v="N/A"/>
    <x v="3"/>
    <s v="MARIO AREVALO"/>
    <d v="2022-01-27T00:00:00"/>
    <e v="#VALUE!"/>
    <e v="#VALUE!"/>
    <s v="NO"/>
    <s v="Devuelto"/>
    <x v="2"/>
    <m/>
    <s v="28 de enero en cotizaciones "/>
    <d v="2022-01-28T00:00:00"/>
    <m/>
    <s v="ene"/>
    <n v="1"/>
    <n v="1"/>
    <s v="G"/>
    <s v="FUNCIONAMIENTO"/>
    <m/>
    <m/>
    <m/>
    <m/>
    <m/>
    <n v="69888700"/>
    <m/>
    <m/>
    <m/>
    <m/>
    <m/>
    <m/>
    <m/>
    <m/>
    <m/>
    <n v="0"/>
    <m/>
  </r>
  <r>
    <n v="117"/>
    <s v="0117"/>
    <s v="GUENE"/>
    <d v="2022-01-27T00:00:00"/>
    <x v="1"/>
    <s v="GE0230"/>
    <s v="FR-500-GE-0161-2022"/>
    <s v="N/A"/>
    <s v="Suministro de protecciones"/>
    <n v="157827595"/>
    <s v="60 dias "/>
    <m/>
    <s v=""/>
    <n v="202202372"/>
    <n v="157827595"/>
    <s v="N/A"/>
    <s v="N/A"/>
    <s v="N/A"/>
    <x v="4"/>
    <s v="JUAN PABLO QUIMBAYO"/>
    <d v="2022-01-27T00:00:00"/>
    <e v="#VALUE!"/>
    <e v="#VALUE!"/>
    <s v="NO"/>
    <s v="Devuelto"/>
    <x v="2"/>
    <m/>
    <s v="28 DE ENERO EN COTIZACIONES_x000a_"/>
    <d v="2022-01-31T00:00:00"/>
    <m/>
    <s v="ene"/>
    <n v="4"/>
    <n v="4"/>
    <s v="G"/>
    <s v="FUNCIONAMIENTO"/>
    <m/>
    <m/>
    <m/>
    <m/>
    <m/>
    <n v="157827595"/>
    <m/>
    <m/>
    <m/>
    <m/>
    <m/>
    <m/>
    <m/>
    <m/>
    <m/>
    <n v="1"/>
    <m/>
  </r>
  <r>
    <n v="118"/>
    <s v="0118"/>
    <s v="GUENE"/>
    <d v="2022-01-27T00:00:00"/>
    <x v="1"/>
    <s v="GE0215"/>
    <s v="FR-500-GE-0177-2022"/>
    <s v="N/A"/>
    <s v="Suministro de aisladores electricos"/>
    <n v="36899520"/>
    <m/>
    <m/>
    <s v=""/>
    <n v="202202298"/>
    <m/>
    <s v="N/A"/>
    <s v="N/A"/>
    <s v="N/A"/>
    <x v="3"/>
    <s v="LINA ECHAVARRIA"/>
    <d v="2022-01-27T00:00:00"/>
    <e v="#VALUE!"/>
    <e v="#VALUE!"/>
    <s v="NO"/>
    <s v="Devuelto"/>
    <x v="2"/>
    <m/>
    <s v="28 de enero en solicitud de conceptos_x000a_28 DE ENERO SE DEVUELVE POR VENCIMIENTO DE PLAZO DE LEY DE GARANTIAS"/>
    <d v="2022-01-28T00:00:00"/>
    <m/>
    <s v="ene"/>
    <n v="1"/>
    <n v="1"/>
    <s v="G"/>
    <s v="FUNCIONAMIENTO"/>
    <m/>
    <m/>
    <m/>
    <m/>
    <m/>
    <n v="36899520"/>
    <m/>
    <m/>
    <m/>
    <m/>
    <m/>
    <m/>
    <m/>
    <m/>
    <m/>
    <n v="1"/>
    <m/>
  </r>
  <r>
    <n v="119"/>
    <s v="0119"/>
    <s v="GUENE"/>
    <d v="2022-01-27T00:00:00"/>
    <x v="1"/>
    <s v="GE0184"/>
    <s v="FR-500-GE-0187-2022"/>
    <s v="N/A"/>
    <s v="Mnatenimiento general de las plantas de emergencia de las Subestaciones de Energía del Sistema de Distribución de Local de EMCALI EICE ESP."/>
    <n v="95200000"/>
    <m/>
    <s v="900-IP-0119-2022"/>
    <s v="IP-"/>
    <n v="202202439"/>
    <m/>
    <s v="N/A"/>
    <s v="N/A"/>
    <s v="N/A"/>
    <x v="2"/>
    <s v="LINA ECHAVARRIA"/>
    <d v="2022-01-27T00:00:00"/>
    <e v="#VALUE!"/>
    <e v="#VALUE!"/>
    <s v="NO"/>
    <s v="Devuelto"/>
    <x v="2"/>
    <m/>
    <s v="28 de enero en solicitud de conceptos_x000a_28 DE ENERO SE DEVUELVE POR PLAZO DE CUMPLIMIENTO DE LEY DE GARANTIAS"/>
    <d v="2022-01-28T00:00:00"/>
    <m/>
    <s v="ene"/>
    <n v="1"/>
    <n v="1"/>
    <s v="G"/>
    <s v="FUNCIONAMIENTO"/>
    <m/>
    <m/>
    <m/>
    <m/>
    <m/>
    <n v="95200000"/>
    <m/>
    <m/>
    <m/>
    <m/>
    <m/>
    <m/>
    <m/>
    <m/>
    <m/>
    <n v="1"/>
    <m/>
  </r>
  <r>
    <n v="120"/>
    <s v="0120"/>
    <s v="GUENE"/>
    <d v="2022-01-27T00:00:00"/>
    <x v="1"/>
    <s v="GE0311"/>
    <s v="FR-500-GE-0118-2022"/>
    <s v="N/A"/>
    <s v="Suministro de CONECTORES, de acuerdo con las condiciones y especificaciones técnicas."/>
    <n v="60695367"/>
    <s v="31 de diciembre 2022"/>
    <s v="900-IP-0113-2021"/>
    <m/>
    <n v="202201916"/>
    <n v="152821240"/>
    <s v="N/A"/>
    <s v="N/A"/>
    <m/>
    <x v="2"/>
    <s v="LINA ECHAVARRIA"/>
    <d v="2022-01-27T00:00:00"/>
    <m/>
    <m/>
    <m/>
    <s v="Entregado al area"/>
    <x v="1"/>
    <m/>
    <m/>
    <d v="2022-02-08T00:00:00"/>
    <s v="Jan"/>
    <m/>
    <n v="12"/>
    <n v="12"/>
    <s v="G"/>
    <s v="OPERACIÓN_x000a_FUNCIONAMIENTO_x000a_INVERSION"/>
    <s v="500-AO-1507-2022"/>
    <d v="2022-01-28T00:00:00"/>
    <n v="60695367"/>
    <s v="PROELCO SAS"/>
    <m/>
    <n v="0"/>
    <m/>
    <m/>
    <s v="2022-024"/>
    <d v="2022-01-19T00:00:00"/>
    <m/>
    <s v="BOGOTA"/>
    <s v="NACIONAL"/>
    <m/>
    <n v="0"/>
    <n v="1"/>
    <n v="1"/>
  </r>
  <r>
    <n v="121"/>
    <s v="0164"/>
    <s v="GUENAA"/>
    <d v="2022-02-01T00:00:00"/>
    <x v="2"/>
    <s v="GAA0349"/>
    <s v="FR-300-GAA-0040-2022"/>
    <s v="N/A"/>
    <s v="Suministro de rejillas para sumideros en polimero de 8 huecos"/>
    <n v="119148750"/>
    <m/>
    <s v="900-IPU-0164-2022"/>
    <s v="IPU"/>
    <n v="202201931"/>
    <m/>
    <s v="N/A"/>
    <s v="N/A"/>
    <s v="Menor cuantia"/>
    <x v="0"/>
    <s v="LINA ECHAVARRIA"/>
    <d v="2022-02-03T00:00:00"/>
    <e v="#VALUE!"/>
    <e v="#VALUE!"/>
    <s v="NO"/>
    <s v="Cerrado"/>
    <x v="0"/>
    <m/>
    <s v="se unio en el proceso 196"/>
    <m/>
    <m/>
    <s v=""/>
    <n v="-44593"/>
    <n v="-44595"/>
    <m/>
    <s v="FUNCIONAMIENTO"/>
    <m/>
    <m/>
    <m/>
    <m/>
    <m/>
    <m/>
    <n v="119148750"/>
    <m/>
    <m/>
    <m/>
    <m/>
    <m/>
    <m/>
    <m/>
    <m/>
    <n v="1"/>
    <m/>
  </r>
  <r>
    <n v="122"/>
    <s v="0165"/>
    <s v="GUENAA"/>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s v="VIAGNERY LOPEZ"/>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m/>
    <s v="abr"/>
    <n v="63"/>
    <n v="63"/>
    <m/>
    <s v="INVERSION"/>
    <m/>
    <m/>
    <m/>
    <m/>
    <m/>
    <m/>
    <n v="200500000"/>
    <m/>
    <m/>
    <m/>
    <m/>
    <m/>
    <m/>
    <m/>
    <m/>
    <n v="1"/>
    <m/>
  </r>
  <r>
    <n v="123"/>
    <s v="0166"/>
    <s v="GUENAA"/>
    <d v="2022-02-03T00:00:00"/>
    <x v="2"/>
    <s v="GAA0348"/>
    <s v="FR-300-GAA-0045-2022"/>
    <s v="N/A"/>
    <s v="Suministro de rejillas concreto reforzado para el mantenimiento de las redes de alcantarillado operadas por EMCALI"/>
    <n v="304203270"/>
    <m/>
    <s v="900-IPU-0166-2022"/>
    <s v="IPU"/>
    <n v="202201930"/>
    <m/>
    <s v="N/A"/>
    <s v="N/A"/>
    <s v="Menor cuantia"/>
    <x v="0"/>
    <s v="LINA ECHAVARRIA"/>
    <d v="2022-02-03T00:00:00"/>
    <e v="#VALUE!"/>
    <e v="#VALUE!"/>
    <s v="NO"/>
    <s v="Cerrado"/>
    <x v="0"/>
    <m/>
    <s v="se unio en el proceso 196"/>
    <m/>
    <m/>
    <s v=""/>
    <n v="-44595"/>
    <n v="-44595"/>
    <m/>
    <s v="FUNCIONAMIENTO"/>
    <m/>
    <m/>
    <m/>
    <m/>
    <m/>
    <m/>
    <n v="304203270"/>
    <m/>
    <m/>
    <m/>
    <m/>
    <m/>
    <m/>
    <m/>
    <m/>
    <n v="1"/>
    <m/>
  </r>
  <r>
    <n v="124"/>
    <s v="0167"/>
    <s v="GUENAA"/>
    <d v="2022-02-03T00:00:00"/>
    <x v="2"/>
    <s v="GAA0402"/>
    <s v="FR-300-GAA-0041-2022"/>
    <s v="300-CMA-1243-2020"/>
    <s v="Suministro de cloruro férrico en base líquida al 42% para ser utilizado en el tratamiento de las aguas residuales en la PTAR C."/>
    <n v="472775520"/>
    <s v="150 dias"/>
    <s v="N/A"/>
    <m/>
    <n v="202201853"/>
    <m/>
    <s v="N/A"/>
    <s v="N/A"/>
    <m/>
    <x v="1"/>
    <s v="LUCY ARBELAEZ"/>
    <d v="2022-02-03T00:00:00"/>
    <m/>
    <m/>
    <m/>
    <s v="Entregado al area"/>
    <x v="1"/>
    <m/>
    <m/>
    <d v="2022-02-24T00:00:00"/>
    <s v="Feb"/>
    <m/>
    <n v="21"/>
    <n v="21"/>
    <s v="N/A"/>
    <s v="FUNCIONAMIENTO"/>
    <s v="300-CMA-1243-2020/300-AO-1676-2022"/>
    <d v="2022-02-10T00:00:00"/>
    <n v="472353399"/>
    <s v="QUIMPAC COLOMBIA SA"/>
    <m/>
    <n v="422121"/>
    <m/>
    <m/>
    <s v="N/A"/>
    <s v="N/A"/>
    <m/>
    <s v="YUMBO"/>
    <s v="MUNICIPAL"/>
    <m/>
    <n v="8.9285714285714283E-4"/>
    <n v="1"/>
    <n v="0"/>
  </r>
  <r>
    <n v="125"/>
    <s v="0168"/>
    <s v="GUENAA"/>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s v="LUCY ARBELAEZ"/>
    <d v="2022-02-03T00:00:00"/>
    <e v="#REF!"/>
    <e v="#REF!"/>
    <s v="SI"/>
    <s v="Entregado al area"/>
    <x v="1"/>
    <s v="31 DE MARZO ADELANTANDO OTRO SI PARA AJUSTE DE PRECIOS_x000a_20 DE ABRIL ESPERANDO EN SOLICITUD DE RP_x000a_28 DE ABRIL ENTREGADO AL AREA"/>
    <m/>
    <d v="2022-04-28T00:00:00"/>
    <s v="May"/>
    <m/>
    <n v="84"/>
    <n v="84"/>
    <s v="N/A"/>
    <s v="FUNCIONAMIENTO"/>
    <s v="300-CMA-1242-2020/300-AO-1904-2022"/>
    <d v="2022-04-20T00:00:00"/>
    <n v="748177472"/>
    <s v="SNF COLOMBIA SAS"/>
    <m/>
    <n v="3759427"/>
    <m/>
    <m/>
    <s v="N/A"/>
    <s v="N/A"/>
    <m/>
    <s v="TOCANCIPA"/>
    <s v="NACIONAL"/>
    <m/>
    <n v="4.9996575577015276E-3"/>
    <n v="1"/>
    <n v="0"/>
  </r>
  <r>
    <n v="126"/>
    <s v="0169"/>
    <s v="GUENAA"/>
    <d v="2022-02-03T00:00:00"/>
    <x v="2"/>
    <s v="GAA0404"/>
    <s v="FR-300-GAA-0043-2022"/>
    <s v="300-CMA-1242-2020"/>
    <s v="Suministro de polímero ayudante de floculación para ser utilizado en el tratamiento de las aguas residuales en la PTAR C."/>
    <n v="29768016"/>
    <m/>
    <s v="N/A"/>
    <m/>
    <n v="202201855"/>
    <m/>
    <s v="N/A"/>
    <s v="N/A"/>
    <s v="N/A"/>
    <x v="1"/>
    <s v="LUCY ARBELAEZ"/>
    <d v="2022-02-03T00:00:00"/>
    <e v="#REF!"/>
    <e v="#REF!"/>
    <s v="SI"/>
    <s v="Entregado al area"/>
    <x v="1"/>
    <s v="31 DE MARZO ADELANTANDO OTRO SI PARA AJUSTE DE PRECIOS_x000a_20 DE ABRIL ESPERANDO EN SOLICITUD DE RP"/>
    <m/>
    <d v="2022-04-28T00:00:00"/>
    <s v="May"/>
    <m/>
    <n v="84"/>
    <n v="84"/>
    <s v="N/A"/>
    <s v="FUNCIONAMIENTO"/>
    <s v="300-CMA-1242-2020/300-AO-1904-2022"/>
    <d v="2022-04-20T00:00:00"/>
    <n v="29620147"/>
    <s v="SNF COLOMBIA SAS"/>
    <m/>
    <n v="147869"/>
    <m/>
    <m/>
    <m/>
    <m/>
    <m/>
    <m/>
    <m/>
    <m/>
    <n v="4.9673784104389083E-3"/>
    <n v="1"/>
    <n v="0"/>
  </r>
  <r>
    <n v="127"/>
    <s v="0170"/>
    <s v="GUENAA"/>
    <d v="2022-02-03T00:00:00"/>
    <x v="2"/>
    <s v="GAA0405"/>
    <s v="FR-300-GAA-0044-2022"/>
    <s v="300-CMA-1240-2020"/>
    <s v="Suministro de producto para control de olores en el tratamiento de las aguas residuales de la PTAR C."/>
    <n v="11099852"/>
    <s v="150 dias"/>
    <s v="N/A"/>
    <m/>
    <n v="202201856"/>
    <m/>
    <s v="N/A"/>
    <s v="N/A"/>
    <m/>
    <x v="1"/>
    <s v="LUCY ARBELAEZ"/>
    <d v="2022-02-03T00:00:00"/>
    <m/>
    <m/>
    <m/>
    <s v="Entregado al area"/>
    <x v="1"/>
    <m/>
    <m/>
    <d v="2022-02-28T00:00:00"/>
    <s v="Feb"/>
    <m/>
    <n v="25"/>
    <n v="25"/>
    <s v="N/A"/>
    <s v="FUNCIONAMIENTO"/>
    <s v="300-CMA-1240-2020/300-AO-1677-2022"/>
    <d v="2022-02-17T00:00:00"/>
    <n v="11043096"/>
    <s v="PROAQO INGENIERIA  SAS"/>
    <m/>
    <n v="56756"/>
    <m/>
    <m/>
    <s v="N/A"/>
    <s v="N/A"/>
    <m/>
    <s v="BOGOTA"/>
    <s v="NACIONAL"/>
    <m/>
    <n v="5.1132213294375461E-3"/>
    <n v="1"/>
    <n v="0"/>
  </r>
  <r>
    <n v="128"/>
    <s v="0171"/>
    <s v="GUENAA"/>
    <d v="2022-02-07T00:00:00"/>
    <x v="2"/>
    <s v="GAA0347"/>
    <s v="FR-300-GAA-0046-2022"/>
    <s v="300-CMA-1974-2020"/>
    <s v="Compra de herramientas para la reparación de daños servicio de alcantarillado PUNTAS ROMPEPAVIMENTO"/>
    <n v="43271668"/>
    <s v="2 meses"/>
    <s v="N/A"/>
    <m/>
    <n v="202201929"/>
    <m/>
    <s v="N/A"/>
    <s v="N/A"/>
    <s v="N/A"/>
    <x v="1"/>
    <s v="LUCY ARBELAEZ"/>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s v="Jun"/>
    <m/>
    <n v="119"/>
    <n v="119"/>
    <s v="N/A"/>
    <s v="FUNCIONAMIENTO"/>
    <s v="300-CMA-1974-2020/300-AO-1925-2022"/>
    <d v="2022-05-23T00:00:00"/>
    <n v="42033077"/>
    <s v="EQUIPOS Y HERRAMIENTAS INDUSTRIALES SAS"/>
    <n v="202205478"/>
    <n v="1238591"/>
    <m/>
    <m/>
    <s v="2022-046"/>
    <d v="2022-01-25T00:00:00"/>
    <m/>
    <s v="CALI"/>
    <s v="LOCAL"/>
    <s v="UNIDAD DE RECOLECCION"/>
    <n v="2.8623601937415494E-2"/>
    <n v="1"/>
    <n v="0"/>
  </r>
  <r>
    <n v="129"/>
    <s v="0172"/>
    <s v="GUENAA"/>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s v="HAROLD MONDRAGON"/>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s v="Jun"/>
    <m/>
    <n v="126"/>
    <n v="115"/>
    <s v="N/A"/>
    <s v="FUNCIONAMIENTO"/>
    <s v="300-AO-1927-2022"/>
    <d v="2022-05-18T00:00:00"/>
    <n v="737800000"/>
    <s v="SG INGENIERIA EN DUCTOS SA"/>
    <n v="202205488"/>
    <n v="31437672"/>
    <m/>
    <m/>
    <m/>
    <m/>
    <m/>
    <s v="BOGOTA"/>
    <s v="NACIONAL"/>
    <m/>
    <n v="4.0868606861469467E-2"/>
    <n v="1"/>
    <n v="2"/>
  </r>
  <r>
    <n v="130"/>
    <s v="0173"/>
    <s v="GUENAA"/>
    <d v="2022-02-10T00:00:00"/>
    <x v="2"/>
    <s v="GAA0264"/>
    <s v="FR-300-GAA-0049-2022"/>
    <s v="N/A"/>
    <s v="Mantenimiento y calibración sistemas de pesaje plantas de tratamiento de agua potable"/>
    <n v="29720250"/>
    <m/>
    <s v="900-IPU-0173-2022"/>
    <s v="IPU"/>
    <n v="202200893"/>
    <m/>
    <s v="N/A"/>
    <s v="N/A"/>
    <s v="Menor cuantia"/>
    <x v="0"/>
    <s v="PAOLA BELTRAN"/>
    <d v="2022-02-10T00:00:00"/>
    <e v="#VALUE!"/>
    <e v="#VALUE!"/>
    <s v="NO"/>
    <s v="Cerrado"/>
    <x v="0"/>
    <m/>
    <s v="23 de marzo en adenda de modificacion de plazo_x000a_31 DE MARZO SE CERRO EL PROCESO NO SE PRESENTO PROPONENTE"/>
    <d v="2022-03-31T00:00:00"/>
    <m/>
    <s v="mar"/>
    <n v="49"/>
    <n v="49"/>
    <m/>
    <s v="FUNCIONAMIENTO"/>
    <m/>
    <m/>
    <m/>
    <m/>
    <m/>
    <m/>
    <n v="29720250"/>
    <m/>
    <m/>
    <m/>
    <m/>
    <m/>
    <m/>
    <m/>
    <m/>
    <n v="1"/>
    <m/>
  </r>
  <r>
    <n v="131"/>
    <s v="0174"/>
    <s v="GUENT"/>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s v="ESTEFANIA SANCHEZ"/>
    <d v="2022-02-14T00:00:00"/>
    <e v="#REF!"/>
    <e v="#REF!"/>
    <s v="SI"/>
    <s v="Entregado al area"/>
    <x v="1"/>
    <s v="23 de marzo esperando polizas del proveedor"/>
    <m/>
    <d v="2022-03-31T00:00:00"/>
    <s v="Mar"/>
    <m/>
    <n v="45"/>
    <n v="45"/>
    <s v="N/A"/>
    <s v="FUNCIONAMIENTO"/>
    <s v="500-CMA-1743-2021/400-AO-1684-2022"/>
    <d v="2022-03-16T00:00:00"/>
    <n v="1273355871"/>
    <s v="CENTELSA SA"/>
    <m/>
    <n v="90326771"/>
    <m/>
    <m/>
    <s v="N/A"/>
    <s v="N/A"/>
    <m/>
    <s v="YUMBO"/>
    <s v="MUNICIPAL"/>
    <m/>
    <n v="6.6237384137650401E-2"/>
    <n v="1"/>
    <n v="0"/>
  </r>
  <r>
    <n v="132"/>
    <s v="0175"/>
    <s v="GTI"/>
    <d v="2022-02-15T00:00:00"/>
    <x v="2"/>
    <s v="GTI0019"/>
    <s v="FR-200-GTI-0013-2022"/>
    <s v="N/A"/>
    <s v="Suscripción de una plataforma integral de mensajería, correo electrónico y trabajo colaborativo en la Nube."/>
    <n v="1222350357"/>
    <m/>
    <s v="900-IPU-0175-2022"/>
    <s v="IPU"/>
    <n v="202202134"/>
    <m/>
    <s v="N/A"/>
    <s v="N/A"/>
    <s v="Mayor cuantia"/>
    <x v="0"/>
    <s v="PABLO CAICEDO"/>
    <d v="2022-02-15T00:00:00"/>
    <e v="#VALUE!"/>
    <e v="#VALUE!"/>
    <s v="NO"/>
    <s v="Cerrado"/>
    <x v="0"/>
    <m/>
    <m/>
    <d v="2022-02-15T00:00:00"/>
    <m/>
    <s v="feb"/>
    <n v="0"/>
    <n v="0"/>
    <m/>
    <s v="FUNCIONAMIENTO"/>
    <m/>
    <m/>
    <m/>
    <m/>
    <m/>
    <m/>
    <n v="1222350357"/>
    <m/>
    <m/>
    <m/>
    <m/>
    <m/>
    <m/>
    <m/>
    <m/>
    <n v="0"/>
    <m/>
  </r>
  <r>
    <n v="133"/>
    <s v="0176"/>
    <s v="GTI"/>
    <d v="2022-02-15T00:00:00"/>
    <x v="2"/>
    <s v="GTI0003"/>
    <s v="FR-200-GTI-0092-2022"/>
    <s v="N/A"/>
    <s v="Adquirir e implementar PURE STORAGE crecimiento Scale-Out X50r3 /c40R3 247TB"/>
    <n v="1510200000"/>
    <s v="3 Meses"/>
    <s v="900-IPU-0176-2022"/>
    <m/>
    <n v="202202601"/>
    <n v="1510200000"/>
    <s v="N/A"/>
    <s v="N/A"/>
    <s v="Mayor cuantia"/>
    <x v="0"/>
    <s v="PABLO CAICEDO"/>
    <d v="2022-02-15T00:00:00"/>
    <n v="107"/>
    <n v="107"/>
    <s v="SI"/>
    <s v="Entregado al area"/>
    <x v="1"/>
    <s v="31 de marzo esperando las polizas por parte del proveedor_x000a_6 ABRIL ENTREGADO AL AREA"/>
    <m/>
    <d v="2022-04-06T00:00:00"/>
    <s v="May"/>
    <m/>
    <n v="50"/>
    <n v="50"/>
    <s v="N/A"/>
    <s v="FUNCIONAMIENTO"/>
    <s v="200-AO-1891-2022"/>
    <d v="2022-03-30T00:00:00"/>
    <n v="1510199964"/>
    <s v="NOVOPANGEA GROUP SAS"/>
    <m/>
    <n v="36"/>
    <m/>
    <m/>
    <s v="N/A"/>
    <s v="N/A"/>
    <m/>
    <s v="CALI"/>
    <s v="LOCAL"/>
    <m/>
    <n v="2.3837902264600715E-8"/>
    <n v="0"/>
    <n v="2"/>
  </r>
  <r>
    <n v="134"/>
    <s v="0177"/>
    <s v="GUENAA"/>
    <d v="2022-02-16T00:00:00"/>
    <x v="2"/>
    <s v="GAA0275"/>
    <s v="FR-300-GAA-0053-2022"/>
    <s v="N/A"/>
    <s v="Suministro de varillas para operación de valvulas de la red matriz de acueducto"/>
    <n v="9090372"/>
    <m/>
    <s v="N/A"/>
    <s v=""/>
    <n v="202200778"/>
    <m/>
    <s v="N/A"/>
    <s v="N/A"/>
    <s v="N/A"/>
    <x v="3"/>
    <s v="LUCY ARBELAEZ"/>
    <d v="2022-02-16T00:00:00"/>
    <e v="#VALUE!"/>
    <e v="#VALUE!"/>
    <s v="NO"/>
    <s v="Devuelto"/>
    <x v="2"/>
    <m/>
    <m/>
    <d v="2022-07-01T00:00:00"/>
    <m/>
    <s v="jul"/>
    <n v="135"/>
    <n v="135"/>
    <m/>
    <s v="FUNCIONAMIENTO"/>
    <m/>
    <m/>
    <m/>
    <m/>
    <m/>
    <n v="9090372"/>
    <m/>
    <m/>
    <m/>
    <m/>
    <m/>
    <m/>
    <m/>
    <m/>
    <m/>
    <n v="1"/>
    <m/>
  </r>
  <r>
    <n v="135"/>
    <s v="0178"/>
    <s v="GUENAA"/>
    <d v="2022-02-16T00:00:00"/>
    <x v="2"/>
    <s v="GAA0277"/>
    <s v="FR-300-GAA-0054-2022"/>
    <s v="N/A"/>
    <s v="Compra de cartas graficas circulares para registradores ref 4686 x 100 UND"/>
    <n v="4961235"/>
    <m/>
    <s v="900-IPU-0178-2022"/>
    <s v="IPU"/>
    <n v="202200780"/>
    <m/>
    <s v="N/A"/>
    <s v="N/A"/>
    <s v="Menor cuantia"/>
    <x v="0"/>
    <s v="ANA MARIA GIL"/>
    <d v="2022-02-16T00:00:00"/>
    <e v="#VALUE!"/>
    <e v="#VALUE!"/>
    <s v="NO"/>
    <s v="Cerrado"/>
    <x v="0"/>
    <m/>
    <s v="23 de marzo en respuestas a observaciones_x000a_31 de marzo se cierra porque el proveedor no cumple "/>
    <d v="2022-03-31T00:00:00"/>
    <m/>
    <s v="mar"/>
    <n v="43"/>
    <n v="43"/>
    <m/>
    <s v="FUNCIONAMIENTO"/>
    <m/>
    <m/>
    <m/>
    <m/>
    <m/>
    <m/>
    <n v="4961235"/>
    <m/>
    <m/>
    <m/>
    <m/>
    <m/>
    <m/>
    <m/>
    <m/>
    <n v="1"/>
    <m/>
  </r>
  <r>
    <n v="136"/>
    <s v="0179"/>
    <s v="GUENAA"/>
    <d v="2022-02-16T00:00:00"/>
    <x v="2"/>
    <s v="GAA0276"/>
    <s v="FR-300-GAA-0055-2022"/>
    <s v="N/A"/>
    <s v="Mantenimiento de equipos de pruebas hidrostaticas"/>
    <n v="5222524"/>
    <s v="31 de diciembre 2022"/>
    <s v="900-IPU-0179-2022"/>
    <m/>
    <n v="202200779"/>
    <m/>
    <s v="N/A"/>
    <s v="N/A"/>
    <s v="Menor cuantia"/>
    <x v="0"/>
    <s v="JULIO GARCIA"/>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s v="May"/>
    <m/>
    <n v="100"/>
    <n v="100"/>
    <s v="N/A"/>
    <s v="FUNCIONAMIENTO"/>
    <s v="300-AO-1924-2022"/>
    <d v="2022-05-23T00:00:00"/>
    <n v="5213002"/>
    <s v="LACC INGENIERIA SAS"/>
    <m/>
    <n v="9522"/>
    <m/>
    <m/>
    <s v="N/A"/>
    <s v="N/A"/>
    <m/>
    <s v="CALI"/>
    <s v="LOCAL"/>
    <m/>
    <n v="1.8232563411867519E-3"/>
    <n v="1"/>
    <n v="2"/>
  </r>
  <r>
    <n v="137"/>
    <s v="0180"/>
    <s v="GUENAA"/>
    <d v="2022-02-16T00:00:00"/>
    <x v="2"/>
    <s v="GAA0274"/>
    <s v="FR-300-GAA-0056-2022"/>
    <s v="N/A"/>
    <s v="Mantenimiento de las casetas de protección"/>
    <n v="5580200"/>
    <m/>
    <s v="900-IPU-0180-2022"/>
    <s v="IPU"/>
    <n v="202200777"/>
    <m/>
    <s v="N/A"/>
    <s v="N/A"/>
    <s v="Menor cuantia"/>
    <x v="0"/>
    <s v="JHON LARRY "/>
    <d v="2022-02-16T00:00:00"/>
    <e v="#VALUE!"/>
    <e v="#VALUE!"/>
    <s v="NO"/>
    <s v="Cerrado"/>
    <x v="0"/>
    <m/>
    <s v="24 de marzo en recepcion de ofertas_x000a_31 DE MARZO SE CIERRA PORQUE NADIE PRESENTO OFERTAS"/>
    <d v="2022-04-08T00:00:00"/>
    <m/>
    <s v="abr"/>
    <n v="51"/>
    <n v="51"/>
    <s v="N/A"/>
    <s v="FUNCIONAMIENTO"/>
    <m/>
    <m/>
    <m/>
    <m/>
    <m/>
    <m/>
    <n v="5580200"/>
    <m/>
    <m/>
    <m/>
    <m/>
    <m/>
    <m/>
    <m/>
    <m/>
    <n v="1"/>
    <m/>
  </r>
  <r>
    <n v="138"/>
    <s v="0181"/>
    <s v="GUENAA"/>
    <d v="2022-02-17T00:00:00"/>
    <x v="2"/>
    <s v="GAA0267"/>
    <s v="FR-300-GAA-0057-2022"/>
    <s v="N/A"/>
    <s v="Suministro de luminarias LED para PTAP"/>
    <n v="29999960"/>
    <s v="90 dias"/>
    <s v="900-IPU-0181-2022"/>
    <m/>
    <n v="202202192"/>
    <n v="30000000"/>
    <s v="N/A"/>
    <s v="N/A"/>
    <s v="Menor cuantia"/>
    <x v="0"/>
    <s v="JUAN PABLO QUIMBAYO"/>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s v="May"/>
    <m/>
    <n v="64"/>
    <n v="64"/>
    <s v="N/A"/>
    <s v="INVERSION"/>
    <s v="300-AO-1893-2022"/>
    <d v="2022-04-01T00:00:00"/>
    <n v="29988000"/>
    <s v="EQUIPLECO SOLUCION INTEGRAL SAS "/>
    <m/>
    <n v="11960"/>
    <m/>
    <m/>
    <s v="2022-062"/>
    <d v="2022-02-04T00:00:00"/>
    <m/>
    <s v="CALI"/>
    <s v="LOCAL"/>
    <m/>
    <n v="3.9866719822293097E-4"/>
    <n v="1"/>
    <n v="2"/>
  </r>
  <r>
    <n v="139"/>
    <s v="0182"/>
    <s v="GUENAA"/>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s v="LINA ECHAVARRIA"/>
    <d v="2022-02-25T00:00:00"/>
    <e v="#VALUE!"/>
    <e v="#VALUE!"/>
    <s v="NO"/>
    <s v="Cerrado"/>
    <x v="0"/>
    <m/>
    <s v="31 de marzo en recepcion de ofertas que se reciben el 6 de abril_x000a_7 de abril se cerro el proceso se solicito derivada para sacarlo como invitacion privada"/>
    <d v="2022-04-07T00:00:00"/>
    <m/>
    <s v="abr"/>
    <n v="48"/>
    <n v="41"/>
    <m/>
    <s v="FUNCIONAMIENTO"/>
    <m/>
    <m/>
    <m/>
    <m/>
    <m/>
    <m/>
    <n v="119987700"/>
    <m/>
    <m/>
    <m/>
    <m/>
    <m/>
    <m/>
    <m/>
    <m/>
    <n v="1"/>
    <m/>
  </r>
  <r>
    <n v="140"/>
    <s v="0183"/>
    <s v="GUENAA"/>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s v="LINA ECHAVARRIA"/>
    <d v="2022-02-25T00:00:00"/>
    <e v="#VALUE!"/>
    <e v="#VALUE!"/>
    <s v="NO"/>
    <s v="Cerrado"/>
    <x v="0"/>
    <m/>
    <s v="31 de marzo en recepcion de ofertas que se reciben el 7 de abril_x000a_7 de abril en evaluacion sobre 1"/>
    <d v="2022-04-07T00:00:00"/>
    <m/>
    <s v="abr"/>
    <n v="48"/>
    <n v="41"/>
    <m/>
    <s v="FUNCIONAMIENTO"/>
    <m/>
    <m/>
    <m/>
    <m/>
    <m/>
    <m/>
    <n v="99995700"/>
    <m/>
    <m/>
    <m/>
    <m/>
    <m/>
    <m/>
    <m/>
    <m/>
    <n v="1"/>
    <m/>
  </r>
  <r>
    <n v="141"/>
    <s v="0184"/>
    <s v="GG"/>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s v="LEIDY DIANA FRANCO"/>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m/>
    <s v="jun"/>
    <n v="107"/>
    <n v="99"/>
    <m/>
    <s v="FUNCIONAMIENTO"/>
    <m/>
    <m/>
    <m/>
    <m/>
    <m/>
    <m/>
    <n v="500000000"/>
    <m/>
    <m/>
    <m/>
    <m/>
    <m/>
    <m/>
    <m/>
    <m/>
    <n v="0"/>
    <m/>
  </r>
  <r>
    <n v="142"/>
    <s v="0185"/>
    <s v="GTI"/>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s v="HAROLD MONDRAGON"/>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s v="Jun"/>
    <m/>
    <n v="99"/>
    <n v="97"/>
    <s v="N/A"/>
    <s v="FUNCIONAMIENTO"/>
    <s v="200-AO-1934-2022"/>
    <d v="2022-05-26T00:00:00"/>
    <n v="300000000"/>
    <s v="PC COM SA"/>
    <n v="202205624"/>
    <n v="0"/>
    <m/>
    <m/>
    <s v="N/A"/>
    <s v="N/A"/>
    <m/>
    <s v="BOGOTA"/>
    <s v="NACIONAL "/>
    <m/>
    <n v="0"/>
    <n v="0"/>
    <n v="2"/>
  </r>
  <r>
    <n v="143"/>
    <s v="0186"/>
    <s v="GUENAA"/>
    <d v="2022-02-23T00:00:00"/>
    <x v="2"/>
    <s v="GAA0263"/>
    <s v="FR-300-GAA-0059-2022"/>
    <s v="N/A"/>
    <s v="Mantenimiento sistema Scada a estaciones y plantas de tratamiento de Agua Potable"/>
    <n v="179985537"/>
    <m/>
    <s v="900-IPU-0186-2022"/>
    <s v="IPU"/>
    <n v="202200892"/>
    <m/>
    <s v="N/A"/>
    <s v="N/A"/>
    <s v="Menor cuantia"/>
    <x v="0"/>
    <s v="HAROLD MONDRAGON"/>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m/>
    <s v="may"/>
    <n v="75"/>
    <n v="73"/>
    <m/>
    <s v="FUNCIONAMIENTO"/>
    <m/>
    <m/>
    <m/>
    <m/>
    <m/>
    <m/>
    <n v="179985537"/>
    <m/>
    <m/>
    <m/>
    <m/>
    <m/>
    <m/>
    <m/>
    <m/>
    <n v="1"/>
    <m/>
  </r>
  <r>
    <n v="144"/>
    <s v="0187"/>
    <s v="GUENAA"/>
    <d v="2022-02-23T00:00:00"/>
    <x v="2"/>
    <s v="GAA0253"/>
    <s v="FR-300-GAA-0061-2022"/>
    <s v="N/A"/>
    <s v="Suministro de dos variadores de velocidad de 1250 HP A 4160 Voltios Planta de Puerto Mallarino"/>
    <n v="3058210890"/>
    <m/>
    <s v="900-IPU-0187-2022"/>
    <s v="IPU"/>
    <n v="202202189"/>
    <m/>
    <s v="N/A"/>
    <s v="N/A"/>
    <s v="Mayor cuantia"/>
    <x v="0"/>
    <s v="JUAN PABLO QUIMBAYO"/>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m/>
    <s v="may"/>
    <n v="70"/>
    <n v="68"/>
    <m/>
    <s v="INVERSION"/>
    <m/>
    <m/>
    <m/>
    <m/>
    <m/>
    <m/>
    <n v="3058210890"/>
    <m/>
    <m/>
    <m/>
    <m/>
    <m/>
    <m/>
    <m/>
    <m/>
    <n v="1"/>
    <m/>
  </r>
  <r>
    <n v="145"/>
    <s v="0188"/>
    <s v="GUENAA"/>
    <d v="2022-02-23T00:00:00"/>
    <x v="2"/>
    <s v="GAA0258"/>
    <s v="FR-300-GAA-0062-2022"/>
    <s v="N/A"/>
    <s v="Suministro de unidades de bombeo sumergibles PTAP Puerto Mallarino"/>
    <n v="241153500"/>
    <m/>
    <s v="900-IPU-0188-2022"/>
    <m/>
    <n v="202202191"/>
    <m/>
    <s v="N/A"/>
    <s v="N/A"/>
    <s v="Menor cuantia"/>
    <x v="0"/>
    <s v="HAROLD MONDRAGON"/>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s v="Jun"/>
    <m/>
    <n v="125"/>
    <n v="123"/>
    <s v="N/A"/>
    <s v="INVERSION"/>
    <s v="300-AO-1953-2022"/>
    <d v="2022-05-18T00:00:00"/>
    <n v="238000000"/>
    <s v="CONSORCIO ETEL ABC"/>
    <n v="202205763"/>
    <n v="3153500"/>
    <m/>
    <m/>
    <m/>
    <m/>
    <m/>
    <s v="CALI"/>
    <s v="LOCAL"/>
    <m/>
    <n v="1.3076733283987171E-2"/>
    <n v="1"/>
    <n v="2"/>
  </r>
  <r>
    <n v="146"/>
    <s v="0189"/>
    <s v="GUENAA"/>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s v="HAROLD MONDRAGON"/>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s v="Jun"/>
    <m/>
    <n v="124"/>
    <n v="119"/>
    <s v="N/A"/>
    <s v="INVERSION"/>
    <s v="300-AO-1954-2022"/>
    <d v="2022-05-18T00:00:00"/>
    <n v="99999999"/>
    <s v="CONSORCIO ETEL ABC"/>
    <n v="202205764"/>
    <n v="1"/>
    <m/>
    <m/>
    <m/>
    <m/>
    <m/>
    <s v="CALI"/>
    <s v="LOCAL"/>
    <m/>
    <n v="1E-8"/>
    <n v="1"/>
    <n v="2"/>
  </r>
  <r>
    <n v="147"/>
    <s v="0190"/>
    <s v="GUENAA"/>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s v="ADALBERTO VALENCIA"/>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m/>
    <s v="may"/>
    <n v="84"/>
    <n v="84"/>
    <s v="G"/>
    <s v="INVERSION"/>
    <m/>
    <m/>
    <m/>
    <m/>
    <m/>
    <m/>
    <n v="109994080"/>
    <m/>
    <m/>
    <m/>
    <m/>
    <m/>
    <m/>
    <m/>
    <m/>
    <n v="1"/>
    <m/>
  </r>
  <r>
    <n v="148"/>
    <s v="0191"/>
    <s v="GUENAA"/>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s v="CRISTHIAN BURBANO"/>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m/>
    <s v="may"/>
    <n v="84"/>
    <n v="84"/>
    <m/>
    <s v="FUNCIONAMIENTO"/>
    <m/>
    <m/>
    <m/>
    <m/>
    <m/>
    <m/>
    <n v="149539291"/>
    <m/>
    <m/>
    <m/>
    <m/>
    <m/>
    <m/>
    <m/>
    <m/>
    <n v="1"/>
    <m/>
  </r>
  <r>
    <n v="149"/>
    <s v="0192"/>
    <s v="GTI"/>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s v="PABLO CAICEDO"/>
    <d v="2022-03-10T00:00:00"/>
    <n v="93"/>
    <n v="84"/>
    <s v="SI"/>
    <s v="Entregado al area"/>
    <x v="1"/>
    <s v="31 de marzo en respuesta a observaciones_x000a_20 DE ABRIL EN SOLICITUD DE SUBSANABLES_x000a_5 DE MAYO EN ESPERA DE LAS POLIZAS_x000a_16 DE MAYO ENTREGADO AL AREA"/>
    <m/>
    <d v="2022-05-16T00:00:00"/>
    <s v="May"/>
    <m/>
    <n v="76"/>
    <n v="67"/>
    <s v="N/A"/>
    <s v="FUNCIONAMIENTO"/>
    <s v="200-AO-1911-2022"/>
    <d v="2022-05-10T00:00:00"/>
    <n v="418285000"/>
    <s v="OPTIMA CONSULTING SAS"/>
    <m/>
    <n v="26715000"/>
    <m/>
    <m/>
    <s v="N/A"/>
    <s v="N/A"/>
    <m/>
    <s v="CALI"/>
    <s v="LOCAL"/>
    <m/>
    <n v="6.003370786516854E-2"/>
    <n v="0"/>
    <n v="2"/>
  </r>
  <r>
    <n v="150"/>
    <s v="0193"/>
    <s v="GTI"/>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s v="CRISTHIAN BURBANO"/>
    <d v="2022-03-02T00:00:00"/>
    <e v="#VALUE!"/>
    <e v="#VALUE!"/>
    <s v="NO"/>
    <s v="Cerrado"/>
    <x v="0"/>
    <m/>
    <s v="23 de marzo publicado_x000a_31 DE MARZO CERRADO PORQUE NO SE PRESENTO NINGUN OFERENTE"/>
    <d v="2022-03-31T00:00:00"/>
    <m/>
    <s v="mar"/>
    <n v="30"/>
    <n v="29"/>
    <m/>
    <s v="FUNCIONAMIENTO"/>
    <m/>
    <m/>
    <m/>
    <m/>
    <m/>
    <m/>
    <e v="#VALUE!"/>
    <m/>
    <m/>
    <m/>
    <m/>
    <m/>
    <m/>
    <m/>
    <m/>
    <n v="0"/>
    <m/>
  </r>
  <r>
    <n v="151"/>
    <s v="0194"/>
    <s v="GTI"/>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s v="PABLO CAICEDO"/>
    <d v="2022-03-02T00:00:00"/>
    <n v="93"/>
    <n v="92"/>
    <s v="SI"/>
    <s v="Entregado al area"/>
    <x v="1"/>
    <s v="31 de marzo listo para legalizar al area_x000a_1 DE ABRIL ENTREGADO AL AREA"/>
    <m/>
    <d v="2022-04-01T00:00:00"/>
    <s v="May"/>
    <m/>
    <n v="31"/>
    <n v="30"/>
    <s v="N/A"/>
    <s v="FUNCIONAMIENTO"/>
    <s v="200-AO-1888-2022"/>
    <d v="2022-03-29T00:00:00"/>
    <n v="2315471332"/>
    <s v="OPEN INTERNATIONAL SAS"/>
    <m/>
    <n v="0"/>
    <m/>
    <m/>
    <s v="N/A"/>
    <s v="N/A"/>
    <m/>
    <s v="CALI"/>
    <s v="LOCAL"/>
    <m/>
    <n v="0"/>
    <n v="0"/>
    <n v="2"/>
  </r>
  <r>
    <n v="152"/>
    <s v="0195"/>
    <s v="GTI"/>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s v="PABLO CAICEDO"/>
    <d v="2022-03-10T00:00:00"/>
    <n v="93"/>
    <n v="84"/>
    <s v="SI"/>
    <s v="Entregado al area"/>
    <x v="1"/>
    <s v="31 de marzo en espera de recepcion de ofertas el 5 de abril_x000a_20 DE ABRIL EN EVALIACION SOBRE 1_x000a_entregado al area_x000a_11 DE MAYO ENTREGADO AL AREA"/>
    <m/>
    <d v="2022-05-11T00:00:00"/>
    <s v="May"/>
    <m/>
    <n v="71"/>
    <n v="62"/>
    <s v="N/A"/>
    <s v="FUNCIONAMIENTO"/>
    <s v="200-AO-1910-2022"/>
    <d v="2022-05-03T00:00:00"/>
    <n v="213409840"/>
    <s v="VIVENTI SAS"/>
    <m/>
    <n v="16590160"/>
    <m/>
    <m/>
    <s v="N/A"/>
    <s v="N/A"/>
    <m/>
    <s v="CALI"/>
    <s v="LOCAL"/>
    <m/>
    <n v="7.2131130434782614E-2"/>
    <n v="0"/>
    <n v="2"/>
  </r>
  <r>
    <n v="153"/>
    <s v="0196"/>
    <s v="GUENAA"/>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s v="LINA ECHAVARRIA"/>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s v="Jun"/>
    <m/>
    <n v="92"/>
    <n v="91"/>
    <s v="N/A"/>
    <s v="FUNCIONAMIENTO"/>
    <s v="300-AO-1928-2022"/>
    <d v="2022-05-23T00:00:00"/>
    <n v="304121874"/>
    <s v="IMEVALLE SAS"/>
    <n v="202205486"/>
    <n v="81396"/>
    <m/>
    <m/>
    <m/>
    <m/>
    <m/>
    <s v="YUMBO"/>
    <s v="MUNICIPAL"/>
    <m/>
    <n v="2.6757108823978124E-4"/>
    <n v="1"/>
    <n v="2"/>
  </r>
  <r>
    <n v="154"/>
    <s v="0197"/>
    <s v="GUENE"/>
    <d v="2022-03-03T00:00:00"/>
    <x v="3"/>
    <s v="GE0303"/>
    <s v="FR-500-GE-0115-2022"/>
    <s v="N/A"/>
    <s v="Calibración de Instrumentos y Equipos de Laboratorio"/>
    <n v="40712800"/>
    <m/>
    <s v="900-IPU-0197-2022"/>
    <s v="IPU"/>
    <n v="202201683"/>
    <m/>
    <s v="N/A"/>
    <s v="N/A"/>
    <s v="Menor cuantia"/>
    <x v="0"/>
    <s v="JUAN DAVID GOMEZ"/>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m/>
    <s v="abr"/>
    <n v="35"/>
    <n v="35"/>
    <s v="G"/>
    <s v="FUNCIONAMIENTO"/>
    <m/>
    <m/>
    <m/>
    <m/>
    <m/>
    <m/>
    <n v="40712800"/>
    <m/>
    <m/>
    <m/>
    <m/>
    <m/>
    <m/>
    <m/>
    <m/>
    <n v="1"/>
    <m/>
  </r>
  <r>
    <n v="155"/>
    <s v="0198"/>
    <s v="GUENE"/>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s v="HAROLD MONDRAGON"/>
    <d v="2022-03-09T00:00:00"/>
    <e v="#VALUE!"/>
    <e v="#VALUE!"/>
    <s v="NO"/>
    <s v="Cerrado"/>
    <x v="0"/>
    <m/>
    <s v="23 de marzo en elaboracon de fpa e invitacion_x000a_31 DE MARZO PENDIENTE LA FIRMA DEL GERENTE PARA PUBLICAR_x000a_20 de abril se reciben ofertas_x000a_6 DEMAYO SE PUBLICO ACTA DE CIERRE"/>
    <d v="2022-05-06T00:00:00"/>
    <m/>
    <s v="may"/>
    <n v="64"/>
    <n v="58"/>
    <m/>
    <s v="FUNCIONAMIENTO"/>
    <m/>
    <m/>
    <m/>
    <m/>
    <m/>
    <m/>
    <n v="62492850"/>
    <m/>
    <m/>
    <m/>
    <m/>
    <m/>
    <m/>
    <m/>
    <m/>
    <n v="1"/>
    <m/>
  </r>
  <r>
    <n v="156"/>
    <s v="0199"/>
    <s v="GUENE"/>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s v="DIEGO PATIÑO"/>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m/>
    <s v="may"/>
    <n v="64"/>
    <n v="48"/>
    <m/>
    <s v="FUNCIONAMIENTO"/>
    <m/>
    <m/>
    <m/>
    <m/>
    <m/>
    <m/>
    <n v="26610066"/>
    <m/>
    <m/>
    <m/>
    <m/>
    <m/>
    <m/>
    <m/>
    <m/>
    <n v="1"/>
    <m/>
  </r>
  <r>
    <n v="157"/>
    <s v="0200"/>
    <s v="GUENAA"/>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s v="HAROLD MONDRAGON"/>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s v="Aug"/>
    <m/>
    <n v="153"/>
    <n v="132"/>
    <s v="N/A"/>
    <s v="INVERSION"/>
    <s v="300-AO-2024-2022"/>
    <d v="2022-07-15T00:00:00"/>
    <n v="376737827"/>
    <s v="EPRING SAS"/>
    <n v="202207211"/>
    <n v="3745378"/>
    <m/>
    <m/>
    <m/>
    <m/>
    <m/>
    <s v="CALI"/>
    <s v="LOCAL"/>
    <s v="UNIDAD DE TRATAMIENTO"/>
    <n v="9.8437406718123073E-3"/>
    <n v="1"/>
    <n v="2"/>
  </r>
  <r>
    <n v="158"/>
    <s v="0201"/>
    <s v="GUENAA"/>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s v="CRISTHIAN BURBANO"/>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s v="Aug"/>
    <m/>
    <n v="145"/>
    <n v="125"/>
    <s v="N/A"/>
    <s v="FUNCIONAMIENTO"/>
    <s v="300-AO-2038-2022"/>
    <d v="2022-07-19T00:00:00"/>
    <n v="109938905"/>
    <s v="INGENIERIA  Y REPRESENTACIONES SAS"/>
    <n v="202207206"/>
    <n v="5392881"/>
    <m/>
    <m/>
    <m/>
    <m/>
    <m/>
    <s v="CALI"/>
    <s v="LOCAL"/>
    <s v="UNIDAD DE BOMBEO"/>
    <n v="4.675971115196291E-2"/>
    <n v="1"/>
    <n v="2"/>
  </r>
  <r>
    <n v="159"/>
    <s v="0202"/>
    <s v="GUENAA"/>
    <d v="2022-03-11T00:00:00"/>
    <x v="3"/>
    <s v="GAA0272"/>
    <s v="FR-300-GAA-0068-2022"/>
    <s v="300-CMA-1974-2021"/>
    <s v="Suministro de hidrantes para la Unidad de Distribucción"/>
    <n v="108727408"/>
    <m/>
    <s v="N/A"/>
    <m/>
    <n v="202202570"/>
    <m/>
    <s v="N/A"/>
    <s v="N/A"/>
    <s v="N/A"/>
    <x v="1"/>
    <s v="LUCY ARBELAEZ"/>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s v="Jun"/>
    <m/>
    <n v="90"/>
    <n v="71"/>
    <s v="N/A"/>
    <s v="FUNCIONAMIENTO"/>
    <s v="300-CMA-1974-2021/300-AO-1935-2022"/>
    <d v="2022-05-26T00:00:00"/>
    <n v="108727408"/>
    <s v="EQUIPOS Y HERRAMIENTAS INDUSTRIALES SAS"/>
    <n v="202205626"/>
    <n v="0"/>
    <m/>
    <m/>
    <m/>
    <m/>
    <m/>
    <s v="CALI"/>
    <s v="LOCAL"/>
    <m/>
    <n v="0"/>
    <n v="1"/>
    <n v="0"/>
  </r>
  <r>
    <n v="160"/>
    <s v="0203"/>
    <s v="GUENAA"/>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s v="HAROLD MONDRAGON"/>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s v="Jul"/>
    <m/>
    <n v="138"/>
    <n v="120"/>
    <s v="N/A"/>
    <s v="FUNCIONAMIENTO"/>
    <s v="300-AO-2025-2022"/>
    <d v="2022-07-15T00:00:00"/>
    <n v="299906870"/>
    <s v="SAUFER SOLUCIONES SA"/>
    <n v="202207213"/>
    <n v="51201"/>
    <m/>
    <m/>
    <m/>
    <m/>
    <m/>
    <s v="BOGOTA"/>
    <s v="NACIONAL"/>
    <s v="UNIDAD DE BOMBEO"/>
    <n v="1.7069385674239784E-4"/>
    <n v="1"/>
    <n v="2"/>
  </r>
  <r>
    <n v="161"/>
    <s v="0204"/>
    <s v="GUENAA"/>
    <d v="2022-03-11T00:00:00"/>
    <x v="3"/>
    <s v="GAA0387"/>
    <s v="FR-300-GAA-0075-2022"/>
    <s v="N/A"/>
    <s v="Suministro de lubricantes para todas las estaciones de bombeo de aguas lluvias y/o residuales"/>
    <n v="52771303"/>
    <m/>
    <s v="900-IPU-0204-2022"/>
    <s v="IPU"/>
    <n v="202201835"/>
    <m/>
    <s v="N/A"/>
    <s v="N/A"/>
    <s v="Menor cuantia"/>
    <x v="0"/>
    <s v="JULIO GARCIA"/>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m/>
    <s v="jun"/>
    <n v="111"/>
    <n v="98"/>
    <m/>
    <s v="FUNCIONAMIENTO"/>
    <m/>
    <m/>
    <m/>
    <m/>
    <m/>
    <m/>
    <e v="#VALUE!"/>
    <m/>
    <m/>
    <m/>
    <m/>
    <m/>
    <m/>
    <m/>
    <m/>
    <n v="1"/>
    <m/>
  </r>
  <r>
    <n v="162"/>
    <s v="0205"/>
    <s v="GUENAA"/>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s v="SIN ASIGNAR"/>
    <m/>
    <e v="#VALUE!"/>
    <e v="#VALUE!"/>
    <s v="NO"/>
    <s v="Devuelto"/>
    <x v="2"/>
    <m/>
    <s v="DEVUELTO EL 23 DE MARZO 2022 POR SOLICITUD DEL AREA"/>
    <d v="2022-03-23T00:00:00"/>
    <m/>
    <s v="mar"/>
    <n v="9"/>
    <n v="44643"/>
    <m/>
    <s v="INVERSION"/>
    <m/>
    <m/>
    <m/>
    <m/>
    <m/>
    <e v="#VALUE!"/>
    <m/>
    <m/>
    <m/>
    <m/>
    <m/>
    <m/>
    <m/>
    <m/>
    <m/>
    <n v="1"/>
    <m/>
  </r>
  <r>
    <n v="163"/>
    <s v="0206"/>
    <s v="GUENAA"/>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s v="HAROLD MONDRAGON"/>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s v="Aug"/>
    <m/>
    <n v="163"/>
    <n v="148"/>
    <s v="N/A"/>
    <s v="FUNCIONAMIENTO"/>
    <s v="300-AO-2116-2022"/>
    <d v="2022-07-22T00:00:00"/>
    <n v="794168337"/>
    <s v="UNION TEMPORAL MANTENIMIENTO  EBAR 2022"/>
    <n v="202207840"/>
    <n v="5130863"/>
    <m/>
    <m/>
    <m/>
    <m/>
    <m/>
    <s v="CALI"/>
    <s v="LOCAL"/>
    <s v="UNIDAD DE BOMBEO"/>
    <n v="6.4192019709265313E-3"/>
    <n v="1"/>
    <n v="2"/>
  </r>
  <r>
    <n v="164"/>
    <s v="0207"/>
    <s v="GUENAA"/>
    <d v="2022-03-14T00:00:00"/>
    <x v="3"/>
    <s v="GAA0394"/>
    <s v="FR-300-GAA-0076-2022"/>
    <s v="N/A"/>
    <s v="Suministro de equipos y elementos para la medición de variables para el proceso de tratamiento de la PTAR-C"/>
    <n v="207605670"/>
    <m/>
    <s v="900-IPU-0207-2022"/>
    <s v="IPU"/>
    <n v="202202669"/>
    <m/>
    <s v="N/A"/>
    <s v="N/A"/>
    <s v="Menor cuantia"/>
    <x v="0"/>
    <s v="JULIO GARCIA"/>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m/>
    <s v="jun"/>
    <n v="86"/>
    <n v="71"/>
    <m/>
    <s v="INVERSION"/>
    <m/>
    <m/>
    <m/>
    <m/>
    <m/>
    <m/>
    <e v="#VALUE!"/>
    <m/>
    <m/>
    <m/>
    <m/>
    <m/>
    <m/>
    <m/>
    <m/>
    <n v="1"/>
    <m/>
  </r>
  <r>
    <n v="165"/>
    <s v="0208"/>
    <s v="GUENAA"/>
    <d v="2022-03-15T00:00:00"/>
    <x v="3"/>
    <s v="GAA0652"/>
    <s v="FR-300-GAA-0078-2022"/>
    <s v="300-CMA-1243-2020"/>
    <s v="Suministro de Cloro, para ser utilizado en el tratamiento de agua potable para consumo humano"/>
    <n v="1451921415"/>
    <s v="90 dias"/>
    <s v="N/A"/>
    <m/>
    <n v="202202688"/>
    <n v="11870525408"/>
    <s v="N/A"/>
    <s v="N/A"/>
    <s v="N/A"/>
    <x v="1"/>
    <s v="LUCY ARBELAEZ"/>
    <d v="2022-03-15T00:00:00"/>
    <n v="79"/>
    <n v="79"/>
    <s v="SI"/>
    <s v="Entregado al area"/>
    <x v="1"/>
    <s v="31 DE MARZO EN APROBACION DE GARANTIAS_x000a_7 de abril entregado al area"/>
    <m/>
    <d v="2022-04-07T00:00:00"/>
    <s v="May"/>
    <m/>
    <n v="23"/>
    <n v="23"/>
    <s v="N/A"/>
    <s v="FUNCIONAMIENTO"/>
    <s v="300-CMA-1243-2020/300-AO-1890-2022"/>
    <d v="2022-03-29T00:00:00"/>
    <n v="1451111417"/>
    <s v="QUIMPAC DE COLOMBIA SA"/>
    <m/>
    <n v="809998"/>
    <m/>
    <m/>
    <s v="2022-107"/>
    <d v="2022-03-08T00:00:00"/>
    <m/>
    <s v="YUMBO"/>
    <s v="MUNICIPAL"/>
    <m/>
    <n v="5.5788005578800558E-4"/>
    <n v="1"/>
    <n v="0"/>
  </r>
  <r>
    <n v="166"/>
    <s v="0209"/>
    <s v="GUENAA"/>
    <d v="2022-03-15T00:00:00"/>
    <x v="3"/>
    <s v="GAA0654"/>
    <s v="FR-300-GAA-0079-2022"/>
    <s v="300-CMA-1246-2020"/>
    <s v="Suministro de Coagulante para las plantas Río Cauca, Río Cali, La Reforma y La Rivera: Hidroxicloruro de Aluminio."/>
    <n v="1010081985"/>
    <s v="90 dias"/>
    <s v="N/A"/>
    <m/>
    <n v="202202688"/>
    <n v="1166236926"/>
    <s v="N/A"/>
    <s v="N/A"/>
    <s v="N/A"/>
    <x v="1"/>
    <s v="LUCY ARBELAEZ"/>
    <d v="2022-03-15T00:00:00"/>
    <n v="79"/>
    <n v="79"/>
    <s v="SI"/>
    <s v="Entregado al area"/>
    <x v="1"/>
    <s v="31 DE MARZO EN EVALUACION_x000a_20 DE ABRIL ENTREGADO AL AREA"/>
    <m/>
    <d v="2022-04-20T00:00:00"/>
    <s v="May"/>
    <m/>
    <n v="36"/>
    <n v="36"/>
    <s v="N/A"/>
    <s v="FUNCIONAMIENTO"/>
    <s v="300-CMA-1246-2020/300-AO-1902-2022"/>
    <d v="2022-04-07T00:00:00"/>
    <n v="980029959"/>
    <s v="QUIMPAC DE COLOMBIA SA"/>
    <m/>
    <n v="30052026"/>
    <m/>
    <m/>
    <s v="2022-105"/>
    <d v="2022-03-08T00:00:00"/>
    <m/>
    <s v="YUMBO"/>
    <s v="MUNICIPAL"/>
    <m/>
    <n v="2.9752066115702479E-2"/>
    <n v="1"/>
    <n v="0"/>
  </r>
  <r>
    <n v="167"/>
    <s v="0210"/>
    <s v="GUENAA"/>
    <d v="2022-03-15T00:00:00"/>
    <x v="3"/>
    <s v="GAA0653"/>
    <s v="FR-300-GAA-0080-2022"/>
    <s v="300-CMA-1245-2020"/>
    <s v="Suministro de Coagulante para ser utilizado en el tratamiento de Agua Potable para consumo humano"/>
    <n v="2781245550"/>
    <s v="90 dias"/>
    <s v="N/A"/>
    <m/>
    <n v="202202688"/>
    <n v="2144676418"/>
    <s v="N/A"/>
    <s v="N/A"/>
    <s v="N/A"/>
    <x v="1"/>
    <s v="LUCY ARBELAEZ"/>
    <d v="2022-03-15T00:00:00"/>
    <n v="79"/>
    <n v="79"/>
    <s v="SI"/>
    <s v="Entregado al area"/>
    <x v="1"/>
    <s v="31 DE MARZO EN EVALUACION"/>
    <m/>
    <d v="2022-04-20T00:00:00"/>
    <s v="May"/>
    <m/>
    <n v="36"/>
    <n v="36"/>
    <s v="N/A"/>
    <s v="FUNCIONAMIENTO"/>
    <s v="300-CMA-1245-2020/300-AO-1901-2022"/>
    <d v="2022-04-07T00:00:00"/>
    <n v="1802080450"/>
    <s v="QUIMPAC DE COLOMBIA SA"/>
    <m/>
    <n v="979165100"/>
    <m/>
    <m/>
    <s v="N/A"/>
    <s v="N/A"/>
    <m/>
    <s v="YUMBO"/>
    <s v="MUNICIPAL"/>
    <m/>
    <n v="0.35205992509363299"/>
    <n v="1"/>
    <n v="0"/>
  </r>
  <r>
    <n v="168"/>
    <s v="0211"/>
    <s v="GUENAA"/>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s v="CENELIA CRUZ"/>
    <d v="2022-03-15T00:00:00"/>
    <n v="79"/>
    <n v="79"/>
    <s v="SI"/>
    <s v="Entregado al area"/>
    <x v="1"/>
    <s v="31 de marzo en aceptacion de la oferta_x000a_5 de abril en rp_x000a_19 en abril en espera de las polizas por parte del proveedor_x000a_03 DE MAYO ENTREGADO AL AREA"/>
    <m/>
    <d v="2022-05-03T00:00:00"/>
    <s v="May"/>
    <m/>
    <n v="49"/>
    <n v="49"/>
    <s v="N/A"/>
    <s v="FUNCIONAMIENTO"/>
    <s v="300-CMA-1241-2020/300-AO-1896-2022"/>
    <d v="2022-04-04T00:00:00"/>
    <n v="349951849"/>
    <s v="SULFOQUIMICA SA"/>
    <m/>
    <n v="394090"/>
    <m/>
    <m/>
    <m/>
    <m/>
    <m/>
    <s v="ITAGUI"/>
    <s v="NACIONAL"/>
    <m/>
    <n v="1.1248596205363751E-3"/>
    <n v="1"/>
    <n v="0"/>
  </r>
  <r>
    <n v="169"/>
    <s v="0212"/>
    <s v="GUENAA"/>
    <d v="2022-03-15T00:00:00"/>
    <x v="3"/>
    <s v="GAA0219"/>
    <s v="FR-300-GAA-0082-2022"/>
    <s v="CMA-1246-2020"/>
    <s v="Suministro de Hipoclorito de Calcio para ser utilizado en el tratamiento de Agua Potable para consumo humano"/>
    <n v="13554576"/>
    <m/>
    <s v="N/A"/>
    <m/>
    <n v="202200896"/>
    <m/>
    <s v="N/A"/>
    <s v="N/A"/>
    <s v="Menor cuantia"/>
    <x v="1"/>
    <s v="LINA ECHAVARRIA"/>
    <d v="2022-03-24T00:00:00"/>
    <n v="-44635"/>
    <n v="-44644"/>
    <s v="SI"/>
    <s v="Entregado al area"/>
    <x v="1"/>
    <s v="5 de abril en solicitud de conceptos_x000a_20 de abril en revision de la fpa y cc_x000a_11 DE MAYO CERRADO_x000a_Se tramito como el contrato marco"/>
    <m/>
    <d v="2022-06-29T00:00:00"/>
    <s v="Jul"/>
    <m/>
    <n v="106"/>
    <n v="97"/>
    <s v="N/A"/>
    <s v="FUNCIONAMIENTO"/>
    <s v="CMA-1246-2020/300-AO-1957-2022"/>
    <d v="2022-06-13T00:00:00"/>
    <n v="11067000"/>
    <s v="QUIMPAC DE COLOMBIA SA"/>
    <n v="202205765"/>
    <n v="2487576"/>
    <m/>
    <m/>
    <m/>
    <m/>
    <m/>
    <s v="YUMBO"/>
    <s v="MUNICIPAL"/>
    <s v="UNIDAD DE PRODUCCIÓN AGUA POTABLE"/>
    <n v="0.18352296670880741"/>
    <n v="1"/>
    <n v="0"/>
  </r>
  <r>
    <n v="170"/>
    <s v="0213"/>
    <s v="GAGHA"/>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s v="LEIDY DIANA FRANCO"/>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m/>
    <s v="jun"/>
    <n v="84"/>
    <n v="75"/>
    <m/>
    <s v="FUNCIONAMIENTO"/>
    <m/>
    <m/>
    <m/>
    <m/>
    <m/>
    <m/>
    <n v="226560000"/>
    <m/>
    <m/>
    <m/>
    <m/>
    <m/>
    <m/>
    <m/>
    <m/>
    <n v="0"/>
    <m/>
  </r>
  <r>
    <n v="171"/>
    <s v="0214"/>
    <s v="GUENE"/>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s v="ESTEFANIA SANCHEZ"/>
    <d v="2022-03-17T00:00:00"/>
    <n v="77"/>
    <n v="77"/>
    <s v="SI"/>
    <s v="Entregado al area"/>
    <x v="1"/>
    <s v="23 de marzo a la espera de la firma de la jefe sandra de la fpa e invitacion_x000a_26 DE ABRIL ENTREGADO AL AREA"/>
    <m/>
    <d v="2022-04-26T00:00:00"/>
    <s v="May"/>
    <m/>
    <n v="40"/>
    <n v="40"/>
    <s v="N/A"/>
    <s v="INVERSION"/>
    <s v="500-CMA-1743-2021/500-AO-1900-2022"/>
    <d v="2022-04-07T00:00:00"/>
    <n v="2369197180"/>
    <s v="CENTELSA SA"/>
    <m/>
    <n v="124694588.42105293"/>
    <m/>
    <m/>
    <s v="2022-073"/>
    <d v="2022-02-18T00:00:00"/>
    <m/>
    <s v="YUMBO"/>
    <s v="NACIONAL"/>
    <m/>
    <n v="5.0000000000000114E-2"/>
    <n v="1"/>
    <n v="0"/>
  </r>
  <r>
    <n v="172"/>
    <s v="0215"/>
    <s v="GTI"/>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s v="PABLO CAICEDO"/>
    <d v="2022-03-17T00:00:00"/>
    <n v="77"/>
    <n v="77"/>
    <s v="SI"/>
    <s v="Entregado al area"/>
    <x v="1"/>
    <s v="31 de marzo evaluacion sobre 1_x000a_20 DE ABRIL EN SOLICITUD DE RP Y POLIZAS_x000a_27 de abril entregado al area"/>
    <m/>
    <d v="2022-04-27T00:00:00"/>
    <s v="May"/>
    <m/>
    <n v="41"/>
    <n v="41"/>
    <s v="N/A"/>
    <s v="FUNCIONAMIENTO"/>
    <s v="200-AO-1903-2022"/>
    <d v="2022-04-20T00:00:00"/>
    <n v="1215989566"/>
    <s v="THE BEST EXPERIENCE IN TECHNOLOGY SAS"/>
    <m/>
    <n v="6360791"/>
    <m/>
    <m/>
    <s v="N/A"/>
    <s v="N/A"/>
    <m/>
    <s v="BOGOTA"/>
    <s v="NACIONAL"/>
    <m/>
    <n v="5.2037379983356112E-3"/>
    <n v="0"/>
    <n v="2"/>
  </r>
  <r>
    <n v="173"/>
    <s v="0216"/>
    <s v="GUENT"/>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s v="LUCY ARBELAEZ"/>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s v="Jun"/>
    <m/>
    <n v="88"/>
    <n v="87"/>
    <s v="N/A"/>
    <s v="FUNCIONAMIENTO"/>
    <s v="300-CMA-1974-2020/400-AO-1932-2022_x000a__x000a_300-CMA-1974-2020/400-AO-1933-2022"/>
    <d v="2022-05-25T00:00:00"/>
    <n v="83411573"/>
    <s v="EQUIPOS Y HERRAMIENTAS INDUSTRIALES SAS"/>
    <n v="202205613"/>
    <n v="2908703"/>
    <m/>
    <m/>
    <m/>
    <m/>
    <m/>
    <s v="CALI"/>
    <s v="LOCAL"/>
    <m/>
    <n v="3.3696636929196104E-2"/>
    <n v="1"/>
    <n v="0"/>
  </r>
  <r>
    <n v="174"/>
    <s v="0217"/>
    <s v="GUENAA"/>
    <d v="2022-03-22T00:00:00"/>
    <x v="3"/>
    <s v="GAA0259"/>
    <s v="FR-300-GAA-0086-2022"/>
    <s v="N/A"/>
    <s v="Mantenimiento de equipos electromecanicos de las PTAP´S Río Cali y Rivera"/>
    <n v="219998971"/>
    <s v="31 DE DICIEMBRE 2022"/>
    <s v="900-IPU-0217-2022"/>
    <m/>
    <n v="202200890"/>
    <n v="219998971"/>
    <s v="N/A"/>
    <s v="N/A"/>
    <s v="Menor cuantia"/>
    <x v="0"/>
    <s v="HAROLD MONDRAGON"/>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s v="Sep"/>
    <m/>
    <n v="164"/>
    <n v="157"/>
    <s v="N/A"/>
    <s v="FUNCIONAMIENTO"/>
    <s v="300-AO-2217-2022"/>
    <d v="2022-08-19T00:00:00"/>
    <n v="215951252"/>
    <s v="UNION TEMPORAL OVERHAUL 2022"/>
    <n v="202208265"/>
    <n v="4047719"/>
    <m/>
    <m/>
    <m/>
    <m/>
    <m/>
    <s v="CALI"/>
    <s v="LOCAL"/>
    <s v="UNIDAD DE MANTENIMIENTO"/>
    <n v="1.8398808783519266E-2"/>
    <n v="1"/>
    <n v="2"/>
  </r>
  <r>
    <n v="175"/>
    <s v="0218"/>
    <s v="GUENAA"/>
    <d v="2022-03-23T00:00:00"/>
    <x v="3"/>
    <s v="GAA0270"/>
    <s v="FR-300-GAA-0088-2022"/>
    <s v="300-CMA-1794-2021"/>
    <s v="Suministro de elementos de ferreteria para la unidad de distribucción"/>
    <n v="66554963"/>
    <m/>
    <s v="N/A"/>
    <m/>
    <n v="202201161"/>
    <m/>
    <s v="N/A"/>
    <s v="N/A"/>
    <s v="N/A"/>
    <x v="1"/>
    <s v="LUCY ARBELAEZ"/>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s v="Jul"/>
    <m/>
    <n v="78"/>
    <n v="78"/>
    <s v="N/A"/>
    <s v="FUNCIONAMIENTO"/>
    <s v="300-CMA-1974-2021/300-AO-1935-2022"/>
    <d v="2022-05-26T00:00:00"/>
    <n v="39751349"/>
    <s v="EQUIPOS Y HERRAMIENTAS INDUSTRIALES SAS"/>
    <n v="202205626"/>
    <n v="26803614"/>
    <m/>
    <m/>
    <m/>
    <m/>
    <m/>
    <s v="CALI"/>
    <s v="LOCAL"/>
    <s v="UENAA U. DISTRIBUCIÓN"/>
    <n v="0.40272900459729805"/>
    <n v="1"/>
    <n v="0"/>
  </r>
  <r>
    <n v="176"/>
    <s v="0219"/>
    <s v="GUENE"/>
    <d v="2022-03-25T00:00:00"/>
    <x v="3"/>
    <s v="GE0314"/>
    <s v="FR-500-GE-0190-2022"/>
    <s v="N/A"/>
    <s v="Mantenimiento general de transformadores de potencia de las Subestaciones de Energía"/>
    <n v="535500000"/>
    <m/>
    <s v="900-IPU-0219-2022"/>
    <s v="IPU"/>
    <n v="202203018"/>
    <m/>
    <s v="N/A"/>
    <s v="N/A"/>
    <s v="Mayor cuantia"/>
    <x v="0"/>
    <s v="JULIO GARCIA"/>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m/>
    <s v="jul"/>
    <n v="105"/>
    <n v="95"/>
    <m/>
    <s v="FUNCIONAMIENTO"/>
    <m/>
    <m/>
    <m/>
    <m/>
    <m/>
    <m/>
    <e v="#VALUE!"/>
    <m/>
    <m/>
    <m/>
    <m/>
    <m/>
    <m/>
    <m/>
    <m/>
    <n v="1"/>
    <m/>
  </r>
  <r>
    <n v="177"/>
    <s v="0220"/>
    <s v="GAGHA"/>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s v="PAOLA BELTRAN"/>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s v="Sep"/>
    <m/>
    <n v="171"/>
    <n v="168"/>
    <s v="N/A"/>
    <s v="FUNCIONAMIENTO"/>
    <s v="800-AO-2034-2022"/>
    <d v="2022-07-19T00:00:00"/>
    <n v="1042387972"/>
    <s v="VICKBAY SAS"/>
    <m/>
    <n v="2023028"/>
    <m/>
    <m/>
    <m/>
    <m/>
    <m/>
    <m/>
    <m/>
    <s v="UNIDAD SEGURIDAD Y SALUD EN EL TRABAJO"/>
    <n v="1.9370037274597835E-3"/>
    <n v="0"/>
    <n v="2"/>
  </r>
  <r>
    <n v="178"/>
    <s v="0221"/>
    <s v="GUENT"/>
    <d v="2022-03-25T00:00:00"/>
    <x v="3"/>
    <s v="GT0229"/>
    <s v="FR-400-GT-0155-2022"/>
    <s v="N/A"/>
    <s v="Suministro de Equipos Terminales CPE con tecnología ADSL2+/VDSL2 para el mercado masivo y comercial de EMCALI"/>
    <n v="1000000000"/>
    <s v="90 dias"/>
    <s v="900-IPU-0221-2022"/>
    <m/>
    <n v="202202954"/>
    <m/>
    <s v="N/A"/>
    <s v="N/A"/>
    <s v="Mayor cuantia"/>
    <x v="0"/>
    <s v="HAROLD MONDRAGON"/>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s v="Aug"/>
    <m/>
    <n v="145"/>
    <n v="142"/>
    <s v="C"/>
    <s v="INVERSION"/>
    <s v="400-AO1962-2022"/>
    <d v="2022-06-16T00:00:00"/>
    <n v="958964118"/>
    <s v="ZTE  CORPORATION SUCURSAL COLOMBIA"/>
    <n v="202207824"/>
    <n v="41035882"/>
    <m/>
    <m/>
    <m/>
    <m/>
    <m/>
    <s v="BOGOTA"/>
    <s v="NACIONAL"/>
    <s v="SUB GERENCIA COMERCIAL"/>
    <n v="4.1035882000000003E-2"/>
    <n v="1"/>
    <n v="2"/>
  </r>
  <r>
    <n v="179"/>
    <s v="0222"/>
    <s v="GUENAA"/>
    <d v="2022-03-25T00:00:00"/>
    <x v="3"/>
    <s v="GAA0646"/>
    <s v="FR-300-GAA-0097-2022"/>
    <s v="300-CMA-1974-2020"/>
    <s v="Suministro de elementos de Ferretería"/>
    <n v="1053865028"/>
    <s v="4 Meses"/>
    <s v="N/A"/>
    <m/>
    <n v="202202078"/>
    <m/>
    <s v="N/A"/>
    <s v="N/A"/>
    <s v="N/A"/>
    <x v="1"/>
    <s v="LUCY ARBELAEZ"/>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s v="Jun"/>
    <m/>
    <n v="73"/>
    <n v="70"/>
    <s v="N/A"/>
    <s v="FUNCIONAMIENTO"/>
    <s v="300-CMA-1974-2020/300-AO-1926-2022"/>
    <d v="2022-05-23T00:00:00"/>
    <n v="985518328"/>
    <s v="EQUIPOS Y HERRAMIENTAS INDUSTRIALES SAS"/>
    <n v="202205513"/>
    <n v="68346700"/>
    <m/>
    <m/>
    <m/>
    <m/>
    <m/>
    <s v="CALI"/>
    <s v="LOCAL"/>
    <m/>
    <n v="6.4853371337036156E-2"/>
    <n v="1"/>
    <n v="0"/>
  </r>
  <r>
    <n v="180"/>
    <s v="0223"/>
    <s v="GUENAA"/>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s v="LUCY ARBELAEZ"/>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s v="Jun"/>
    <m/>
    <n v="77"/>
    <n v="74"/>
    <s v="N/A"/>
    <s v="FUNCIONAMIENTO"/>
    <s v="300-CMA-1974-2020/300-AO-1938-2022_x000a_300-CMA-1974-2020/300-AO-1936-2022"/>
    <d v="2022-05-26T00:00:00"/>
    <n v="2993832375"/>
    <s v="EQUIPOS Y HERRAMIENTAS INDUSTRIALES SAS"/>
    <s v="202205622_x000a_202205637"/>
    <n v="117827316"/>
    <m/>
    <m/>
    <m/>
    <m/>
    <m/>
    <s v="CALI"/>
    <s v="LOCAL"/>
    <m/>
    <n v="3.7866388905186996E-2"/>
    <n v="1"/>
    <n v="0"/>
  </r>
  <r>
    <n v="181"/>
    <s v="0224"/>
    <s v="GUENAA"/>
    <d v="2022-03-28T00:00:00"/>
    <x v="3"/>
    <s v="GAA0255"/>
    <s v="FR-300-GAA-0090-2022"/>
    <s v="N/A"/>
    <s v="Reparación descargas de reactores 1 y 2 PTAP Río Cauca"/>
    <n v="425201539"/>
    <s v="28 DE NOVIEMBRE 2022"/>
    <s v="900-IPU-0224-2022"/>
    <m/>
    <n v="202200888"/>
    <n v="425201539"/>
    <s v="N/A"/>
    <s v="N/A"/>
    <s v="Menor cuantia"/>
    <x v="0"/>
    <s v="HAROLD MONDRAGON"/>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s v="Aug"/>
    <m/>
    <n v="148"/>
    <n v="141"/>
    <s v="G"/>
    <s v="FUNCIONAMIENTO"/>
    <s v="300-AO-2096-2022"/>
    <d v="2022-08-10T00:00:00"/>
    <n v="416649663"/>
    <s v="CABARCO INGENIERIA SAS"/>
    <n v="202207863"/>
    <n v="8551876"/>
    <m/>
    <m/>
    <s v="N/A"/>
    <s v="N/A"/>
    <m/>
    <m/>
    <m/>
    <s v="UNIDAD DE MANTENIMIENTO"/>
    <n v="2.0112523628471626E-2"/>
    <n v="1"/>
    <n v="2"/>
  </r>
  <r>
    <n v="182"/>
    <s v="0225"/>
    <s v="GUENAA"/>
    <d v="2022-03-28T00:00:00"/>
    <x v="3"/>
    <s v="GAA0554"/>
    <s v="FR-300-GAA-0101-2022"/>
    <s v="300-CMA-1974-2020"/>
    <s v="Suministro de materiales de ferretería para la Unidad Control Integral de Perdidas de Agua/Subgerencia de Gestión Comercial"/>
    <n v="2583811038"/>
    <s v="90 Dias"/>
    <s v="N/A"/>
    <m/>
    <n v="202202749"/>
    <m/>
    <s v="N/A"/>
    <s v="N/A"/>
    <s v="N/A"/>
    <x v="1"/>
    <s v="LUCY ARBELAEZ"/>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77"/>
    <n v="76"/>
    <s v="N/A"/>
    <s v="FUNCIONAMIENTO"/>
    <s v="300-CMA-1974-2020/300-AO-1942-2022"/>
    <d v="2022-05-31T00:00:00"/>
    <n v="2583811038"/>
    <s v="EQUIPOS Y HERRAMIENTAS INDUSTRIALES SAS"/>
    <n v="202205666"/>
    <n v="0"/>
    <m/>
    <m/>
    <m/>
    <m/>
    <m/>
    <s v="EQUIPOS Y HERRAMIENTAS INDUSTRIALES SAS"/>
    <s v="CALI"/>
    <m/>
    <n v="0"/>
    <n v="1"/>
    <n v="0"/>
  </r>
  <r>
    <n v="183"/>
    <s v="0226"/>
    <s v="GUENAA"/>
    <d v="2022-03-28T00:00:00"/>
    <x v="3"/>
    <s v="GAA0621"/>
    <s v="FR-300-GAA-0093-2022"/>
    <s v="N/A"/>
    <s v="Mantenimiento de seis (6) celdas 8DA10 SIEMENS de la PTAP Planta Río Cauca (OVERHOULT CELDAS SUBESTACIÓN PLANTA RIO CAUCA)"/>
    <n v="151608261"/>
    <s v="60 DIAS"/>
    <s v="900-IPU-0226-2022"/>
    <m/>
    <n v="202202904"/>
    <m/>
    <s v="N/A"/>
    <s v="N/A"/>
    <s v="Menor cuantia"/>
    <x v="0"/>
    <s v="HAROLD MONDRAGON"/>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s v="Aug"/>
    <m/>
    <n v="150"/>
    <n v="143"/>
    <s v="N/A"/>
    <s v="INVERSION"/>
    <s v="300-AO-2048-2022"/>
    <d v="2022-07-25T00:00:00"/>
    <n v="151608261"/>
    <s v="SIEMENS  SAS"/>
    <n v="202207238"/>
    <n v="0"/>
    <m/>
    <m/>
    <m/>
    <m/>
    <m/>
    <s v="TENJO"/>
    <s v="CUNDINAMARCA"/>
    <s v="UNIDAD DE MANTENIMIENTO"/>
    <n v="0"/>
    <n v="1"/>
    <n v="2"/>
  </r>
  <r>
    <n v="184"/>
    <s v="0227"/>
    <s v="GUENAA"/>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s v="CRISTHIAN BURBANO"/>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m/>
    <s v="jul"/>
    <n v="109"/>
    <n v="102"/>
    <s v="B"/>
    <s v="FUNCIONAMIENTO"/>
    <m/>
    <m/>
    <m/>
    <m/>
    <m/>
    <m/>
    <e v="#VALUE!"/>
    <m/>
    <m/>
    <m/>
    <m/>
    <m/>
    <m/>
    <m/>
    <m/>
    <n v="1"/>
    <m/>
  </r>
  <r>
    <n v="185"/>
    <s v="0228"/>
    <s v="GUENAA"/>
    <d v="2022-03-28T00:00:00"/>
    <x v="3"/>
    <s v="GAA0552_x000a_GAA0553"/>
    <s v="FR-300-GAA-0100-2022"/>
    <s v="300-CMA-1974-2020"/>
    <s v="Suministro de equipos menores y herramientas"/>
    <n v="235970077"/>
    <m/>
    <s v="N/A"/>
    <m/>
    <s v="202203077_x000a_202203078"/>
    <m/>
    <s v="N/A"/>
    <s v="N/A"/>
    <s v="N/A"/>
    <x v="1"/>
    <s v="LUCY ARBELAEZ"/>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s v="Aug"/>
    <m/>
    <n v="-44648"/>
    <n v="-44649"/>
    <s v="N/A"/>
    <s v="FUNCIONAMIENTO"/>
    <s v="CMA-1974-2020-300-AO-1943-2022"/>
    <m/>
    <n v="207306980"/>
    <s v="Equipos y Herramientas Industriales SAS"/>
    <m/>
    <n v="28663097"/>
    <m/>
    <m/>
    <m/>
    <m/>
    <m/>
    <m/>
    <m/>
    <s v="UNIDAD CONTROL INTEGRAL DE PERDIDAS DE AGUA"/>
    <n v="0.12146920221583858"/>
    <n v="1"/>
    <n v="0"/>
  </r>
  <r>
    <n v="186"/>
    <s v="0229"/>
    <s v="GUENE"/>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s v="ESTEFANIA SANCHEZ"/>
    <d v="2022-03-30T00:00:00"/>
    <n v="65"/>
    <n v="64"/>
    <s v="SI"/>
    <s v="Entregado al area"/>
    <x v="1"/>
    <s v="5 de mayo entregado al area"/>
    <m/>
    <d v="2022-05-05T00:00:00"/>
    <s v="May"/>
    <m/>
    <n v="37"/>
    <n v="36"/>
    <s v="N/A"/>
    <s v="INVERSION"/>
    <s v="500-CMA-1743-2021/500-AO-1905-2022"/>
    <d v="2022-04-22T00:00:00"/>
    <n v="3148468323"/>
    <s v="CABLES DE ENERGIA Y TELECOMUNICACIONES SA"/>
    <m/>
    <n v="165708859.10526323"/>
    <m/>
    <m/>
    <s v="2022-079"/>
    <m/>
    <m/>
    <s v="YUMBO"/>
    <s v="MUNICIPAL"/>
    <m/>
    <n v="5.0000000000000024E-2"/>
    <n v="1"/>
    <n v="0"/>
  </r>
  <r>
    <n v="187"/>
    <s v="0230"/>
    <s v="GUENAA"/>
    <d v="2022-03-29T00:00:00"/>
    <x v="3"/>
    <s v="N/A"/>
    <s v="FR-300-GAA-0103-2022"/>
    <s v="N/A"/>
    <s v="Contrato Marco para el suministro de Hidroxicloruro de Aluminio para ser utilizado en el Tratamiento de Agua Potable para Consumo Humano"/>
    <s v="N/A"/>
    <m/>
    <s v="900-IPU-0230-2022"/>
    <s v="IPU"/>
    <s v="N/A"/>
    <s v="N/A"/>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m/>
    <s v="ago"/>
    <n v="126"/>
    <n v="123"/>
    <m/>
    <s v="FUNCIONAMIENTO"/>
    <m/>
    <m/>
    <m/>
    <m/>
    <m/>
    <e v="#VALUE!"/>
    <m/>
    <m/>
    <m/>
    <m/>
    <m/>
    <m/>
    <m/>
    <m/>
    <m/>
    <n v="1"/>
    <m/>
  </r>
  <r>
    <n v="188"/>
    <s v="0231"/>
    <s v="GUENAA"/>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m/>
    <s v="ago"/>
    <n v="126"/>
    <n v="123"/>
    <m/>
    <s v="FUNCIONAMIENTO"/>
    <m/>
    <m/>
    <m/>
    <m/>
    <m/>
    <e v="#VALUE!"/>
    <m/>
    <m/>
    <m/>
    <m/>
    <m/>
    <m/>
    <m/>
    <m/>
    <m/>
    <n v="1"/>
    <m/>
  </r>
  <r>
    <n v="189"/>
    <s v="0232"/>
    <s v="GUENAA"/>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3"/>
    <n v="130"/>
    <m/>
    <s v="FUNCIONAMIENTO"/>
    <m/>
    <m/>
    <m/>
    <m/>
    <m/>
    <e v="#VALUE!"/>
    <m/>
    <m/>
    <m/>
    <m/>
    <m/>
    <m/>
    <m/>
    <m/>
    <m/>
    <n v="1"/>
    <m/>
  </r>
  <r>
    <n v="190"/>
    <s v="0233"/>
    <s v="GUENAA"/>
    <d v="2022-03-29T00:00:00"/>
    <x v="3"/>
    <s v="N/A"/>
    <s v="FR-300-GAA-0106-2022"/>
    <s v="N/A"/>
    <s v="Contrato Marco para el Suministro de Carbón Activado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m/>
    <s v="ago"/>
    <n v="126"/>
    <n v="123"/>
    <m/>
    <s v="FUNCIONAMIENTO"/>
    <m/>
    <m/>
    <m/>
    <m/>
    <m/>
    <e v="#VALUE!"/>
    <m/>
    <m/>
    <m/>
    <m/>
    <m/>
    <m/>
    <m/>
    <m/>
    <m/>
    <n v="1"/>
    <m/>
  </r>
  <r>
    <n v="191"/>
    <s v="0234"/>
    <s v="GUENAA"/>
    <d v="2022-03-29T00:00:00"/>
    <x v="3"/>
    <s v="GAA0624"/>
    <s v="FR-300-GAA-0098-2022"/>
    <s v="N/A"/>
    <s v="Suministro de equipos de Instrumentación para  las Plantas de Tratamiento de Agua Potable"/>
    <n v="155815600"/>
    <s v="28 DE NOVIEMBRE 2022"/>
    <s v="900-IPU-0234-2022"/>
    <m/>
    <n v="202202922"/>
    <m/>
    <s v="N/A"/>
    <s v="N/A"/>
    <s v="Menor cuantia"/>
    <x v="0"/>
    <s v="JHON LARRY "/>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s v="Aug"/>
    <m/>
    <n v="141"/>
    <n v="135"/>
    <s v="N/A"/>
    <s v="INVERSION"/>
    <s v="300-AO-2089-2022"/>
    <d v="2022-08-08T00:00:00"/>
    <n v="149772663"/>
    <s v="IMATIC INGENIERIA SAS"/>
    <m/>
    <n v="6042937"/>
    <m/>
    <m/>
    <m/>
    <m/>
    <m/>
    <m/>
    <m/>
    <s v="UNIDAD DE MANTENIMIENTO"/>
    <n v="3.8782618685163743E-2"/>
    <n v="1"/>
    <n v="2"/>
  </r>
  <r>
    <n v="192"/>
    <s v="0235"/>
    <s v="GUENAA"/>
    <d v="2022-03-29T00:00:00"/>
    <x v="3"/>
    <s v="GAA0261_x000a_GAA0637"/>
    <s v="FR-300-GAA-0099-2022"/>
    <s v="N/A"/>
    <s v="OVERHOULT Equipos Electoromecanicos para los equipos de PTAP Río Cauca"/>
    <n v="357751462"/>
    <s v="31 DE DICIEMBRE 2022"/>
    <s v="900-IPU-0217-2022"/>
    <m/>
    <n v="202202910"/>
    <n v="357751462"/>
    <s v="N/A"/>
    <s v="N/A"/>
    <s v="Men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s v="Sep"/>
    <m/>
    <n v="157"/>
    <n v="151"/>
    <s v="N/A"/>
    <s v="INVERSION"/>
    <s v="300-AO-2173-2022"/>
    <d v="2022-08-19T00:00:00"/>
    <n v="345825900"/>
    <s v="PAYAN Y CIA LTDA "/>
    <n v="202208262"/>
    <n v="11925562"/>
    <m/>
    <m/>
    <m/>
    <m/>
    <m/>
    <s v="CALI"/>
    <s v="LOCAL"/>
    <s v="UNIDAD DE MANTENIMIENTO"/>
    <n v="3.3334768035133841E-2"/>
    <n v="1"/>
    <n v="2"/>
  </r>
  <r>
    <n v="193"/>
    <s v="0236"/>
    <s v="GAGHA"/>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s v="LEIDY DIANA FRANCO"/>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m/>
    <s v="jun"/>
    <n v="70"/>
    <n v="68"/>
    <m/>
    <s v="FUNCIONAMIENTO"/>
    <m/>
    <m/>
    <m/>
    <m/>
    <m/>
    <m/>
    <e v="#VALUE!"/>
    <m/>
    <m/>
    <m/>
    <m/>
    <m/>
    <m/>
    <m/>
    <m/>
    <n v="0"/>
    <m/>
  </r>
  <r>
    <n v="194"/>
    <s v="0237"/>
    <s v="GAGHA"/>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s v="LEIDY FRANCO"/>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s v="Aug"/>
    <m/>
    <n v="127"/>
    <n v="125"/>
    <s v="N/A"/>
    <s v="FUNCIONAMIENTO"/>
    <s v="800-AO-2072-2022"/>
    <d v="2022-07-26T00:00:00"/>
    <n v="830487000"/>
    <s v="KOMATSU COLOMBIA SAS"/>
    <n v="202207259"/>
    <n v="82087000"/>
    <m/>
    <m/>
    <m/>
    <m/>
    <m/>
    <s v="CHIA CUNDINAMARCA"/>
    <s v="NACIONAL"/>
    <s v="UNIDAD GESTIÓN ADMINISTRATIVA"/>
    <n v="8.9951061502957563E-2"/>
    <n v="0"/>
    <n v="2"/>
  </r>
  <r>
    <n v="195"/>
    <s v="0238"/>
    <s v="GAGHA"/>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s v="LEIDY FRANCO"/>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s v="Jul"/>
    <m/>
    <n v="120"/>
    <n v="118"/>
    <s v="N/A"/>
    <s v="FUNCIONAMIENTO"/>
    <s v="800-AO-2051-2022"/>
    <d v="2022-07-22T00:00:00"/>
    <n v="678255048"/>
    <s v="LLANTAS  E IMPORTACIONES SAGU SAS"/>
    <n v="202207253"/>
    <n v="0"/>
    <m/>
    <m/>
    <m/>
    <m/>
    <m/>
    <s v="BOGOTA"/>
    <s v="LOCAL"/>
    <s v="UNIDAD GESTIÓN ADMINISTRATIVA"/>
    <n v="0"/>
    <n v="0"/>
    <n v="2"/>
  </r>
  <r>
    <n v="196"/>
    <s v="0239"/>
    <s v="GAGHA"/>
    <d v="2022-03-30T00:00:00"/>
    <x v="3"/>
    <s v="GHA0075"/>
    <s v="FR-800-GAGHA-0147-2022"/>
    <s v="800-AC-2040-2021"/>
    <s v="Silla Interlocutora estructura metálica pintada, espaldar en carcasa plástica negra, tapizada en paño"/>
    <n v="1740970"/>
    <s v="30 dias"/>
    <s v="N/A"/>
    <m/>
    <n v="202202755"/>
    <n v="2000000"/>
    <s v="N/A"/>
    <s v="N/A"/>
    <s v="N/A"/>
    <x v="5"/>
    <s v="FRANCIA RAMÍREZ"/>
    <d v="2022-03-31T00:00:00"/>
    <n v="64"/>
    <n v="63"/>
    <s v="SI"/>
    <s v="Entregado al area"/>
    <x v="1"/>
    <s v="19 DE ABRIL SE RECIBIERON PROPUESTAS_x000a_27 DE ABRIL ENTREGADO AL AREA"/>
    <m/>
    <d v="2022-04-27T00:00:00"/>
    <s v="May"/>
    <m/>
    <n v="28"/>
    <n v="27"/>
    <s v="N/A"/>
    <s v="FUNCIONAMIENTO"/>
    <s v="800-AC-2040-2021/800-AO-1908-2022"/>
    <d v="2022-04-27T00:00:00"/>
    <n v="1323137"/>
    <s v="MADE MUEBLES DE COLOMBIA "/>
    <m/>
    <n v="417833"/>
    <m/>
    <m/>
    <s v="2022-094"/>
    <d v="2022-03-07T00:00:00"/>
    <m/>
    <s v="BOGOTA"/>
    <s v="NACIONAL"/>
    <m/>
    <n v="0.24000011487848727"/>
    <n v="0"/>
    <n v="0"/>
  </r>
  <r>
    <n v="197"/>
    <s v="0240"/>
    <s v="GUENAA"/>
    <d v="2022-03-31T00:00:00"/>
    <x v="3"/>
    <s v="N/A"/>
    <s v="FR-300-GAA-0107-2022"/>
    <s v="N/A"/>
    <s v="Suministrar Cloruro Férrico en base líquida al 42%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m/>
    <s v="jun"/>
    <n v="71"/>
    <n v="70"/>
    <m/>
    <s v="FUNCIONAMIENTO"/>
    <m/>
    <m/>
    <m/>
    <m/>
    <m/>
    <e v="#VALUE!"/>
    <m/>
    <m/>
    <m/>
    <m/>
    <m/>
    <m/>
    <m/>
    <m/>
    <m/>
    <n v="1"/>
    <m/>
  </r>
  <r>
    <n v="198"/>
    <s v="0241"/>
    <s v="GUENAA"/>
    <d v="2022-03-31T00:00:00"/>
    <x v="3"/>
    <s v="N/A"/>
    <s v="FR-300-GAA-0108-2022"/>
    <s v="N/A"/>
    <s v="Suministrar Polímero acondicionante de lodos para deshidratación, utilizado en el proceso del tratamiento de las aguas residuales en la PTAR C."/>
    <s v="N/A"/>
    <m/>
    <s v="N/A"/>
    <s v=""/>
    <s v="N/A"/>
    <m/>
    <s v="N/A"/>
    <s v="N/A"/>
    <s v="N/A"/>
    <x v="3"/>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m/>
    <s v="ago"/>
    <n v="131"/>
    <n v="130"/>
    <m/>
    <s v="FUNCIONAMIENTO"/>
    <m/>
    <m/>
    <m/>
    <m/>
    <m/>
    <e v="#VALUE!"/>
    <m/>
    <m/>
    <m/>
    <m/>
    <m/>
    <m/>
    <m/>
    <m/>
    <m/>
    <n v="1"/>
    <m/>
  </r>
  <r>
    <n v="199"/>
    <s v="0242"/>
    <s v="GUENAA"/>
    <d v="2022-03-31T00:00:00"/>
    <x v="3"/>
    <s v="N/A"/>
    <s v="FR-300-GAA-0109-2022"/>
    <s v="N/A"/>
    <s v="Suministrar Polímero ayudante de floculación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m/>
    <s v="ago"/>
    <n v="131"/>
    <n v="130"/>
    <m/>
    <s v="FUNCIONAMIENTO"/>
    <m/>
    <m/>
    <m/>
    <m/>
    <m/>
    <e v="#VALUE!"/>
    <m/>
    <m/>
    <m/>
    <m/>
    <m/>
    <m/>
    <m/>
    <m/>
    <m/>
    <n v="1"/>
    <m/>
  </r>
  <r>
    <n v="200"/>
    <s v="0243"/>
    <s v="GUENAA"/>
    <d v="2022-03-31T00:00:00"/>
    <x v="3"/>
    <s v="N/A"/>
    <s v="FR-300-GAA-0110-2022"/>
    <s v="N/A"/>
    <s v="Suministrar producto para control de olores en el tratamiento de las aguas residuales de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m/>
    <s v="ago"/>
    <n v="131"/>
    <n v="130"/>
    <m/>
    <s v="FUNCIONAMIENTO"/>
    <m/>
    <m/>
    <m/>
    <m/>
    <m/>
    <e v="#VALUE!"/>
    <m/>
    <m/>
    <m/>
    <m/>
    <m/>
    <m/>
    <m/>
    <m/>
    <m/>
    <n v="1"/>
    <m/>
  </r>
  <r>
    <n v="201"/>
    <s v="0244"/>
    <s v="GUENAA"/>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s v="ESTEFANIA SANCHEZ"/>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s v="Jul"/>
    <m/>
    <n v="74"/>
    <n v="74"/>
    <s v="N/A"/>
    <s v="INVERSION"/>
    <s v="500-CMA-1743-2021/300-AO-1944-2022"/>
    <d v="2022-05-31T00:00:00"/>
    <n v="878966428"/>
    <s v="CABLES DE ENERGIA Y TELECOMUNICACIONES SA"/>
    <n v="202205675"/>
    <n v="6294.6000000238419"/>
    <m/>
    <m/>
    <m/>
    <m/>
    <m/>
    <s v="YUMBO"/>
    <s v="MUNICIPAL"/>
    <s v="UNIDAD DE MANTENIMIENTO"/>
    <n v="7.1613143823217E-6"/>
    <n v="1"/>
    <n v="0"/>
  </r>
  <r>
    <n v="202"/>
    <s v="0245"/>
    <s v="GUENAA"/>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s v="Sep"/>
    <m/>
    <n v="155"/>
    <n v="151"/>
    <s v="N/A"/>
    <s v="FUNCIONAMIENTO"/>
    <s v="300-AO-2172-2022"/>
    <d v="2022-08-19T00:00:00"/>
    <n v="1256995507"/>
    <s v="PAYAN Y CIA LTDA "/>
    <n v="202208261"/>
    <n v="812"/>
    <m/>
    <m/>
    <m/>
    <m/>
    <m/>
    <s v="CALI"/>
    <s v="LOCAL"/>
    <s v="UNIDAD DE MANTENIMIENTO"/>
    <n v="6.4598438971244116E-7"/>
    <n v="1"/>
    <n v="2"/>
  </r>
  <r>
    <n v="203"/>
    <s v="0246"/>
    <s v="GUENAA"/>
    <d v="2022-03-31T00:00:00"/>
    <x v="3"/>
    <s v="GAA0639_x000a_GAA0663"/>
    <s v="FR-300-GAA-0102-2022"/>
    <s v="N/A"/>
    <s v="Suministro de equipos CHEMTRAC para plantas de tratamiento de Agua Potable"/>
    <n v="134184400"/>
    <m/>
    <s v="900-IPU-0246-2022"/>
    <s v="IPU"/>
    <n v="202202921"/>
    <m/>
    <s v="N/A"/>
    <s v="N/A"/>
    <s v="Menor cuantia"/>
    <x v="0"/>
    <s v="PAOLA BELTRAN"/>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m/>
    <s v="jun"/>
    <n v="69"/>
    <n v="63"/>
    <m/>
    <s v="INVERSION"/>
    <m/>
    <m/>
    <m/>
    <m/>
    <m/>
    <m/>
    <e v="#VALUE!"/>
    <m/>
    <m/>
    <m/>
    <m/>
    <m/>
    <m/>
    <m/>
    <m/>
    <n v="1"/>
    <m/>
  </r>
  <r>
    <n v="204"/>
    <s v="0247"/>
    <s v="GUENAA"/>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s v="HAROLD MONDRAGON"/>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s v="Jul"/>
    <m/>
    <n v="98"/>
    <n v="94"/>
    <s v="N/A"/>
    <s v="FUNCIONAMIENTO"/>
    <s v="300-AO-1969-2022"/>
    <d v="2022-06-16T00:00:00"/>
    <n v="1795043027"/>
    <s v="CONSORCIO HA SP5-0247-2022"/>
    <n v="202205854"/>
    <n v="24935548"/>
    <m/>
    <m/>
    <m/>
    <m/>
    <m/>
    <m/>
    <m/>
    <s v="UNIDAD DE RECOLECCION"/>
    <n v="1.3701011837460779E-2"/>
    <n v="1"/>
    <n v="2"/>
  </r>
  <r>
    <n v="205"/>
    <s v="0248"/>
    <s v="GUENT"/>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s v="ESTEFANIA SANCHEZ"/>
    <d v="2022-03-31T00:00:00"/>
    <n v="-44651"/>
    <n v="-44651"/>
    <s v="SI"/>
    <s v="Entregado al area"/>
    <x v="1"/>
    <s v="5 DE MAYO RESPUESTA A OBSERVACIONES_x000a_24 DE MAYO EN ACEPTACION DE LA OFERTA_x000a_9 de junio esperando polizas de los proveedores_x000a_30 de junio en espera de la polizas"/>
    <m/>
    <d v="2022-06-28T00:00:00"/>
    <s v="Jul"/>
    <m/>
    <n v="89"/>
    <n v="89"/>
    <s v="N/A"/>
    <s v="FUNCIONAMIENTO"/>
    <s v="400-CMA-1353-2020/400-AO-1949-2022_x000a_400-CMA-1353-2020/400-AO-1950-2022_x000a_400-CMA-1353-2020/400-AO-1952-2022"/>
    <s v="06/06/202"/>
    <n v="2032414666"/>
    <s v="MATRIX TELCOM LTDA_x000a_ELECTROCIVILES SAS_x000a_ENERGITEL SAS"/>
    <n v="202205740"/>
    <n v="13102"/>
    <m/>
    <m/>
    <m/>
    <m/>
    <m/>
    <s v="BOGOTA_x000a_RISALRALDA"/>
    <s v="NACIONAL"/>
    <s v="UNIDAD DE MANTTO RED FISICA"/>
    <n v="6.4464775606234484E-6"/>
    <n v="1"/>
    <n v="0"/>
  </r>
  <r>
    <n v="206"/>
    <s v="0249"/>
    <s v="GUENAA"/>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s v="CRISTHIAN BURBANO"/>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m/>
    <s v="jun"/>
    <n v="70"/>
    <n v="66"/>
    <m/>
    <s v="FUNCIONAMIENTO"/>
    <m/>
    <m/>
    <m/>
    <m/>
    <m/>
    <m/>
    <e v="#VALUE!"/>
    <m/>
    <m/>
    <m/>
    <m/>
    <m/>
    <m/>
    <m/>
    <m/>
    <n v="1"/>
    <m/>
  </r>
  <r>
    <n v="207"/>
    <s v="0250"/>
    <s v="GUENAA"/>
    <d v="2022-03-31T00:00:00"/>
    <x v="3"/>
    <s v="GAA0651"/>
    <s v="FR-300-GAA-0087-2022"/>
    <s v="N/A"/>
    <s v="Suministro de equipos de Automatismo y Telemetría"/>
    <n v="244211285"/>
    <m/>
    <s v="900-IPU-0250-2022"/>
    <s v="IPU"/>
    <n v="202201156"/>
    <m/>
    <s v="N/A"/>
    <s v="N/A"/>
    <s v="Menor cuantia"/>
    <x v="0"/>
    <s v="HAROLD MONDRAGON"/>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m/>
    <s v="may"/>
    <n v="55"/>
    <n v="49"/>
    <m/>
    <s v="INVERSION"/>
    <m/>
    <m/>
    <m/>
    <m/>
    <m/>
    <m/>
    <e v="#VALUE!"/>
    <m/>
    <m/>
    <m/>
    <m/>
    <m/>
    <m/>
    <m/>
    <m/>
    <n v="1"/>
    <m/>
  </r>
  <r>
    <n v="208"/>
    <s v="0251"/>
    <s v="GUENAA"/>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s v="Sep"/>
    <m/>
    <n v="155"/>
    <n v="151"/>
    <s v="N/A"/>
    <s v="INVERSION"/>
    <s v="300-AO-2171-2022"/>
    <d v="2022-08-19T00:00:00"/>
    <n v="496040076"/>
    <s v="PAYAN Y CIA LTDA "/>
    <n v="202208260"/>
    <n v="5662567"/>
    <m/>
    <m/>
    <m/>
    <m/>
    <m/>
    <s v="CALI"/>
    <s v="LOCAL"/>
    <s v="UNIDAD DE MANTENIMIENTO"/>
    <n v="1.1286699560002118E-2"/>
    <n v="1"/>
    <n v="2"/>
  </r>
  <r>
    <n v="209"/>
    <s v="0252"/>
    <s v="GUENAA"/>
    <d v="2022-04-01T00:00:00"/>
    <x v="4"/>
    <s v="GAA0173"/>
    <s v="FR-300-GAA-0111-2022"/>
    <s v="N/A"/>
    <s v="Mitigación de inundaciones comuna 6 y valvulas antiretorno sectores varios 2022"/>
    <n v="999326770"/>
    <s v="31 DE DICIEMBRE 2022"/>
    <s v="900-IPU-0252-2022"/>
    <m/>
    <n v="202202779"/>
    <n v="1000000000"/>
    <s v="N/A"/>
    <s v="N/A"/>
    <s v="Mayor cuantia"/>
    <x v="0"/>
    <s v="HAROLD MONDRAGON"/>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s v="Jul"/>
    <m/>
    <n v="118"/>
    <n v="113"/>
    <s v="N/A"/>
    <s v="INVERSION"/>
    <s v="300-AO-1960-2022"/>
    <d v="2022-06-16T00:00:00"/>
    <n v="981049546"/>
    <s v="ALVARO LAZARO DEL VALLE"/>
    <m/>
    <n v="18277224"/>
    <m/>
    <m/>
    <m/>
    <m/>
    <m/>
    <m/>
    <m/>
    <s v="UNIDAD DE INGENIERIA"/>
    <n v="1.8289537065038296E-2"/>
    <n v="1"/>
    <n v="2"/>
  </r>
  <r>
    <n v="210"/>
    <s v="0253"/>
    <s v="GUENAA"/>
    <d v="2022-04-01T00:00:00"/>
    <x v="4"/>
    <s v="GAA0174"/>
    <s v="FR-300-GAA-0126-2022"/>
    <s v="N/A"/>
    <s v="Obras PSMV Optimización y mejoramiento drenaje sectores varios - control de vertimientos canal oriental y entrega Río Cali"/>
    <n v="1234403575"/>
    <m/>
    <s v="900-IPU-0253-2022"/>
    <m/>
    <n v="202202780"/>
    <m/>
    <s v="N/A"/>
    <s v="N/A"/>
    <s v="Mayor cuantia"/>
    <x v="0"/>
    <s v="HAROLD MONDRAGON"/>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s v="Jul"/>
    <m/>
    <n v="103"/>
    <n v="98"/>
    <s v="N/A"/>
    <s v="INVERSION"/>
    <s v="300-AO-1959-2022"/>
    <d v="2022-06-16T00:00:00"/>
    <n v="1212692702"/>
    <s v="ALVARO LAZARO DEL VALLE"/>
    <n v="202206262"/>
    <n v="21710873"/>
    <m/>
    <m/>
    <m/>
    <m/>
    <m/>
    <s v="CALI"/>
    <s v="LOCAL"/>
    <s v="UNIDAD DE INGENIERIA"/>
    <n v="1.7588148187273354E-2"/>
    <n v="1"/>
    <n v="2"/>
  </r>
  <r>
    <n v="211"/>
    <s v="0254"/>
    <s v="GUENAA"/>
    <d v="2022-04-04T00:00:00"/>
    <x v="4"/>
    <s v="GAA0254"/>
    <s v="FR-300-GAA-0122-2022"/>
    <s v="N/A"/>
    <s v="Suministro e instalación de generador Planta Puerto Mallarino"/>
    <n v="589996150"/>
    <m/>
    <s v="900-IPU-0254-2022"/>
    <s v="IPU"/>
    <n v="202202190"/>
    <m/>
    <s v="N/A"/>
    <s v="N/A"/>
    <s v="Mayor cuantia"/>
    <x v="0"/>
    <s v="HAROLD MONDRAGON"/>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m/>
    <s v="jul"/>
    <n v="105"/>
    <n v="88"/>
    <m/>
    <s v="INVERSION"/>
    <m/>
    <m/>
    <m/>
    <m/>
    <m/>
    <m/>
    <m/>
    <m/>
    <m/>
    <m/>
    <m/>
    <m/>
    <m/>
    <m/>
    <m/>
    <n v="1"/>
    <m/>
  </r>
  <r>
    <n v="212"/>
    <s v="0255"/>
    <s v="GUENAA"/>
    <d v="2022-04-04T00:00:00"/>
    <x v="4"/>
    <s v="GAA0257"/>
    <s v="FR-300-GAA-0125-2022"/>
    <s v="N/A"/>
    <s v="Suministro de Soplador Lobular con variador de velocidad y complementarios"/>
    <n v="259196806"/>
    <m/>
    <s v="900-IPU-0255-2022"/>
    <m/>
    <n v="202202847"/>
    <m/>
    <s v="N/A"/>
    <s v="N/A"/>
    <s v="Menor cuantia"/>
    <x v="0"/>
    <s v="HAROLD MONDRAGON"/>
    <d v="2022-04-21T00:00:00"/>
    <n v="-44655"/>
    <n v="-44672"/>
    <s v="SI"/>
    <s v="Entregado al area"/>
    <x v="1"/>
    <s v="9 de mayo en elaboracion de la fpa y cc_x000a_17 de mayo publicado_x000a_1 DE JUNIO SE RECIBEN OFERTAS_x000a_18 DE JULIO EN SOLICITUD DE POLIZAS_x000a_"/>
    <m/>
    <d v="2022-07-29T00:00:00"/>
    <s v="Jul"/>
    <m/>
    <n v="116"/>
    <n v="99"/>
    <s v="N/A"/>
    <s v="INVERSION"/>
    <s v="300-AO-2023-2022"/>
    <d v="2022-07-15T00:00:00"/>
    <n v="259196755"/>
    <s v="KAESER COMPRESORES DE COLOMBIA SAS"/>
    <n v="202207212"/>
    <n v="51"/>
    <m/>
    <m/>
    <m/>
    <m/>
    <m/>
    <s v="MUNICIPIO DE TENJO CUNDINAMARCA"/>
    <s v="NACIONAL"/>
    <s v="UNIDAD DE MANTENIMIENTO"/>
    <n v="1.9676168386118153E-7"/>
    <n v="1"/>
    <n v="2"/>
  </r>
  <r>
    <n v="213"/>
    <s v="0256"/>
    <s v="GUENAA"/>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s v="HAROLD MONDRAGON"/>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s v="Jul"/>
    <m/>
    <n v="105"/>
    <n v="103"/>
    <s v="N/A"/>
    <s v="INVERSION"/>
    <s v="300-AO-1980-2022"/>
    <d v="2022-07-07T00:00:00"/>
    <n v="1634974621"/>
    <s v="SOPORTE A LA INGENIERIA SAS"/>
    <n v="202206979"/>
    <n v="651523"/>
    <m/>
    <m/>
    <m/>
    <m/>
    <m/>
    <s v="CALI"/>
    <s v="LOCAL"/>
    <s v="UNIDAD DE OPERACIÓN"/>
    <n v="3.9833246881629692E-4"/>
    <n v="1"/>
    <n v="2"/>
  </r>
  <r>
    <n v="214"/>
    <s v="0257"/>
    <s v="GUENAA"/>
    <d v="2022-04-07T00:00:00"/>
    <x v="4"/>
    <s v="GAA0670"/>
    <s v="FR-300-GAA-0258-2021"/>
    <s v="N/A"/>
    <s v="Rehabilitar los componentes priorizados de las estructuras de Captación y Pretratamiento de la PTAP Río Cali."/>
    <n v="936000000"/>
    <m/>
    <s v="900-IPU-0257-2022"/>
    <s v="IPU"/>
    <m/>
    <m/>
    <s v="108-202100108"/>
    <m/>
    <s v="Mayor cuantia"/>
    <x v="0"/>
    <s v="PABLO CAICEDO"/>
    <d v="2022-04-06T00:00:00"/>
    <e v="#VALUE!"/>
    <e v="#VALUE!"/>
    <s v="NO"/>
    <s v="Cerrado"/>
    <x v="0"/>
    <m/>
    <s v="20 DE ABRIL EN REVISION DE LA FPA_x000a_5 DE MAYO EN RESPUESTA A OBSRVACIONES_x000a_17 de mayo en evaluacion sobre 1_x000a_06/06/2022 CERRADO  PORQUE EL OFERENTE NO SUBASANO"/>
    <d v="2022-06-06T00:00:00"/>
    <m/>
    <s v="jun"/>
    <n v="60"/>
    <n v="61"/>
    <m/>
    <s v="INVERSION"/>
    <m/>
    <m/>
    <m/>
    <m/>
    <m/>
    <m/>
    <m/>
    <m/>
    <m/>
    <m/>
    <m/>
    <m/>
    <m/>
    <m/>
    <m/>
    <n v="1"/>
    <m/>
  </r>
  <r>
    <n v="215"/>
    <s v="0258"/>
    <s v="GUENE"/>
    <d v="2022-04-07T00:00:00"/>
    <x v="4"/>
    <s v="GE0189"/>
    <s v="FR-500-GE-0193-2022"/>
    <s v="N/A"/>
    <s v="Calibración de equipos de Medición"/>
    <n v="21000000"/>
    <m/>
    <s v="900-IPU-0258-2022"/>
    <s v="IPU"/>
    <n v="202203515"/>
    <s v=","/>
    <s v="N/A"/>
    <s v="N/A"/>
    <s v="Menor cuantia"/>
    <x v="0"/>
    <s v="ANA MARIA GIL"/>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m/>
    <s v="jun"/>
    <n v="56"/>
    <n v="42"/>
    <m/>
    <s v="FUNCIONAMIENTO"/>
    <m/>
    <m/>
    <m/>
    <m/>
    <m/>
    <m/>
    <m/>
    <m/>
    <m/>
    <m/>
    <m/>
    <m/>
    <m/>
    <m/>
    <m/>
    <n v="1"/>
    <m/>
  </r>
  <r>
    <n v="216"/>
    <s v="0259"/>
    <s v="GUENAA"/>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s v="ANA MARIA GIL"/>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m/>
    <s v="jun"/>
    <n v="56"/>
    <n v="37"/>
    <m/>
    <s v="FUNCIONAMIENTO"/>
    <m/>
    <m/>
    <m/>
    <m/>
    <m/>
    <m/>
    <m/>
    <m/>
    <m/>
    <m/>
    <m/>
    <m/>
    <m/>
    <m/>
    <m/>
    <n v="1"/>
    <m/>
  </r>
  <r>
    <n v="217"/>
    <s v="0260"/>
    <s v="GUENAA"/>
    <d v="2022-05-07T00:00:00"/>
    <x v="5"/>
    <s v="GAA0664"/>
    <s v="FR-300-GAA-0129-2022"/>
    <s v="N/A"/>
    <s v="OVERHOULT equipos electromecanicos de las estaciones de bombeo de agua potable"/>
    <n v="118131300"/>
    <s v="31 DE DICIEMBRE 2022"/>
    <s v="900-IPU-0217-2022"/>
    <m/>
    <n v="202203083"/>
    <n v="120000000"/>
    <s v="N/A"/>
    <s v="N/A"/>
    <s v="Menor cuantia"/>
    <x v="0"/>
    <s v="HAROLD MONDRAGON"/>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s v="Sep"/>
    <m/>
    <n v="118"/>
    <n v="137"/>
    <s v="N/A"/>
    <s v="INVERSION"/>
    <s v="300-AO-2174-2022"/>
    <d v="2022-08-19T00:00:00"/>
    <n v="116874660"/>
    <s v="PAYAN Y CIA LTDA "/>
    <n v="202208263"/>
    <n v="1256640"/>
    <m/>
    <m/>
    <m/>
    <m/>
    <m/>
    <s v="CALI"/>
    <s v="LOCAL"/>
    <s v="UNIDAD DE MANTENIMIENTO"/>
    <n v="1.0637654880628589E-2"/>
    <n v="1"/>
    <n v="2"/>
  </r>
  <r>
    <n v="218"/>
    <s v="0261"/>
    <s v="GUENAA"/>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CMA-1974-2020/300-AO-1945-2022"/>
    <d v="2022-05-31T00:00:00"/>
    <n v="1976707016"/>
    <s v="EQUIPOS Y HERRAMIENTAS INDUSTRIALES SAS"/>
    <n v="202205653"/>
    <n v="0"/>
    <m/>
    <m/>
    <m/>
    <m/>
    <m/>
    <s v="CALI"/>
    <s v="LOCAL"/>
    <m/>
    <n v="0"/>
    <n v="1"/>
    <n v="0"/>
  </r>
  <r>
    <n v="219"/>
    <s v="0262"/>
    <s v="GUENAA"/>
    <d v="2022-04-07T00:00:00"/>
    <x v="4"/>
    <s v="GAA0271"/>
    <s v="FR-300-GAA-0131-2022"/>
    <s v="300-CM-1794-2020"/>
    <s v="Compra de valvulas para la Unidad de Distribución"/>
    <n v="207306980"/>
    <m/>
    <s v="N/A"/>
    <m/>
    <n v="20220077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s v="Jun"/>
    <m/>
    <n v="67"/>
    <n v="66"/>
    <s v="N/A"/>
    <s v="FUNCIONAMIENTO"/>
    <s v="300-CM-1794-2020/300-AO-1943-2022"/>
    <d v="2022-05-31T00:00:00"/>
    <n v="207306980"/>
    <s v="EQUIPOS Y HERRAMIENTAS INDUSTRIALES SAS"/>
    <n v="202205662"/>
    <n v="0"/>
    <m/>
    <m/>
    <m/>
    <m/>
    <m/>
    <s v="EQUIPOS Y HERRAMIENTAS INDUSTRIALES SAS"/>
    <s v="CALI"/>
    <m/>
    <n v="0"/>
    <n v="1"/>
    <n v="0"/>
  </r>
  <r>
    <n v="220"/>
    <s v="0263"/>
    <s v="GUENAA"/>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s v="HAROLD MONDRAGON"/>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s v="Sep"/>
    <m/>
    <n v="147"/>
    <n v="127"/>
    <s v="N/A"/>
    <s v="INVERSION"/>
    <s v="300-AO-2114-2022"/>
    <d v="2022-08-05T00:00:00"/>
    <n v="672598183"/>
    <s v="CONSORCIOS ACUEDUCTOS DEL VALLE"/>
    <n v="202207812"/>
    <n v="7227678"/>
    <m/>
    <m/>
    <m/>
    <m/>
    <m/>
    <s v="CALI"/>
    <s v="LOCAL"/>
    <s v="UNIDAD DE INGENIERIA"/>
    <n v="1.0631660862927954E-2"/>
    <n v="1"/>
    <n v="2"/>
  </r>
  <r>
    <n v="221"/>
    <s v="0264"/>
    <s v="GUENAA"/>
    <d v="2022-04-07T00:00:00"/>
    <x v="4"/>
    <s v="GAA0650"/>
    <s v="FR-300-GAA-0127-2022"/>
    <s v="N/A"/>
    <s v="Renovar los componentes priorizados del sistema de filtración de las PTAPS de la Red Alta (Río Cali y la Reforma)"/>
    <n v="1310994372"/>
    <m/>
    <m/>
    <s v=""/>
    <s v="202202667_x000a_202202668"/>
    <m/>
    <s v="N/A"/>
    <s v="N/A"/>
    <s v="Mayor cuantia"/>
    <x v="3"/>
    <s v="SIN ASIGNAR"/>
    <m/>
    <e v="#VALUE!"/>
    <e v="#VALUE!"/>
    <s v="NO"/>
    <s v="Devuelto"/>
    <x v="2"/>
    <m/>
    <s v="DEVUELTO POR SOLICITUD DEL AREA EL 22 DE ABRIL"/>
    <d v="2022-04-22T00:00:00"/>
    <m/>
    <s v="abr"/>
    <n v="15"/>
    <n v="44673"/>
    <m/>
    <s v="INVERSION"/>
    <m/>
    <m/>
    <m/>
    <m/>
    <m/>
    <m/>
    <m/>
    <m/>
    <m/>
    <m/>
    <m/>
    <m/>
    <m/>
    <m/>
    <m/>
    <n v="1"/>
    <m/>
  </r>
  <r>
    <n v="222"/>
    <s v="0265"/>
    <s v="GUENAA"/>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s v="HAROLD MONDRAGON"/>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m/>
    <s v="nov"/>
    <n v="231"/>
    <n v="217"/>
    <m/>
    <s v="INVERSION"/>
    <m/>
    <m/>
    <m/>
    <m/>
    <m/>
    <m/>
    <m/>
    <m/>
    <m/>
    <m/>
    <m/>
    <m/>
    <m/>
    <m/>
    <m/>
    <n v="1"/>
    <m/>
  </r>
  <r>
    <n v="223"/>
    <s v="0266"/>
    <s v="GUENAA"/>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s v="HAROLD MONDRAGON"/>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s v="Jul"/>
    <m/>
    <n v="94"/>
    <n v="94"/>
    <s v="N/A"/>
    <s v="INVERSION"/>
    <s v="300-AO-1961-2022"/>
    <d v="2022-06-16T00:00:00"/>
    <n v="194435701"/>
    <s v="CMO CONTRATISTAS MANO OBRA SAS"/>
    <n v="202205857"/>
    <n v="6064299"/>
    <m/>
    <m/>
    <m/>
    <m/>
    <m/>
    <s v="CALI"/>
    <s v="LOCAL"/>
    <s v="UNIDAD DE MANTENIMIENTO"/>
    <n v="3.0245880299251869E-2"/>
    <n v="1"/>
    <n v="2"/>
  </r>
  <r>
    <n v="224"/>
    <s v="0267"/>
    <s v="GUENAA"/>
    <d v="2022-04-08T00:00:00"/>
    <x v="4"/>
    <s v="GAA0676"/>
    <s v="FR-300-GAA-0056-2022"/>
    <s v="N/A"/>
    <s v="Mantenimiento de las casetas de protección"/>
    <n v="5580200"/>
    <m/>
    <s v="900-IPU-0267-2022"/>
    <s v="IPU"/>
    <n v="202200777"/>
    <m/>
    <s v="N/A"/>
    <s v="N/A"/>
    <s v="Menor cuantia"/>
    <x v="0"/>
    <s v="JHON LARRY "/>
    <d v="2022-04-08T00:00:00"/>
    <e v="#VALUE!"/>
    <e v="#VALUE!"/>
    <s v="NO"/>
    <s v="Cerrado"/>
    <x v="0"/>
    <m/>
    <s v="20 de abril en elaboracion de la fpa y cc_x000a_28 DE ABRIL PUBLICADO _x000a_5 DE MAYO ESPERANDO LA RECEPCION DE OFERTAS_x000a_17 DE MAYO NO SE PRESENTO NINGUN PROPONENTE ESTA EN ACTA DE CIERRE"/>
    <d v="2022-05-17T00:00:00"/>
    <m/>
    <s v="may"/>
    <n v="39"/>
    <n v="39"/>
    <m/>
    <s v="FUNCIONAMIENTO"/>
    <m/>
    <m/>
    <m/>
    <m/>
    <m/>
    <m/>
    <m/>
    <m/>
    <m/>
    <m/>
    <m/>
    <m/>
    <m/>
    <m/>
    <m/>
    <n v="1"/>
    <m/>
  </r>
  <r>
    <n v="225"/>
    <s v="0268"/>
    <s v="GUENAA"/>
    <d v="2022-04-19T00:00:00"/>
    <x v="4"/>
    <s v="GAA0669"/>
    <s v="FR-300-GAA-0136-2022"/>
    <s v="N/A"/>
    <s v="Suministro e Instalación equipos de Instrumentación y Automatización"/>
    <n v="97403342"/>
    <m/>
    <s v="900-IPU-0268-2022"/>
    <s v="IPU"/>
    <n v="202203123"/>
    <m/>
    <s v="N/A"/>
    <s v="N/A"/>
    <s v="Menor cuantia"/>
    <x v="0"/>
    <s v="ANA MARIA GIL"/>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m/>
    <s v="jun"/>
    <n v="45"/>
    <n v="43"/>
    <m/>
    <s v="INVERSION"/>
    <m/>
    <m/>
    <m/>
    <m/>
    <m/>
    <m/>
    <m/>
    <m/>
    <m/>
    <m/>
    <m/>
    <m/>
    <m/>
    <m/>
    <m/>
    <n v="1"/>
    <m/>
  </r>
  <r>
    <n v="226"/>
    <s v="0269"/>
    <s v="GUENAA"/>
    <d v="2022-04-19T00:00:00"/>
    <x v="4"/>
    <s v="GAA0264"/>
    <s v="FR-300-GAA-0137-2022"/>
    <s v="N/A"/>
    <s v="Mantenimiento y Calibración sistemas de Pesaje Plantas de Tratamiento de Agua Potable"/>
    <n v="29720250"/>
    <m/>
    <s v="900-IPU-0269-2022"/>
    <s v="IPU"/>
    <n v="202200893"/>
    <m/>
    <s v="N/A"/>
    <s v="N/A"/>
    <s v="Menor cuantia"/>
    <x v="0"/>
    <s v="JHON LARRY "/>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m/>
    <s v="jun"/>
    <n v="72"/>
    <n v="70"/>
    <m/>
    <s v="FUNCIONAMIENTO"/>
    <m/>
    <m/>
    <m/>
    <m/>
    <m/>
    <m/>
    <m/>
    <m/>
    <m/>
    <m/>
    <m/>
    <m/>
    <m/>
    <m/>
    <m/>
    <n v="1"/>
    <m/>
  </r>
  <r>
    <n v="227"/>
    <s v="0270"/>
    <s v="GUENAA"/>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s v="JHON LARRY "/>
    <d v="2022-04-21T00:00:00"/>
    <e v="#VALUE!"/>
    <e v="#VALUE!"/>
    <s v="NO"/>
    <s v="CERRADO PARA TRAMITAR COMO IP "/>
    <x v="0"/>
    <m/>
    <s v="5 DE MAYO EN INTELIGENCIA DE MERCADO_x000a_17 de mayo en inteligencia de mercado_x000a_24 DE MAYO EN INTELIGENCIA DE MERCADO"/>
    <d v="2022-06-02T00:00:00"/>
    <m/>
    <s v="jun"/>
    <n v="44"/>
    <n v="42"/>
    <m/>
    <s v="INVERSION"/>
    <m/>
    <m/>
    <m/>
    <m/>
    <m/>
    <m/>
    <m/>
    <m/>
    <m/>
    <m/>
    <m/>
    <m/>
    <m/>
    <m/>
    <m/>
    <n v="1"/>
    <m/>
  </r>
  <r>
    <n v="228"/>
    <s v="0271"/>
    <s v="GUENAA"/>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s v="HAROLD MONDRAGON"/>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m/>
    <s v="dic"/>
    <n v="227"/>
    <n v="225"/>
    <m/>
    <s v="INVERSION"/>
    <m/>
    <m/>
    <m/>
    <m/>
    <m/>
    <m/>
    <m/>
    <m/>
    <m/>
    <m/>
    <m/>
    <m/>
    <m/>
    <m/>
    <m/>
    <n v="1"/>
    <m/>
  </r>
  <r>
    <n v="229"/>
    <s v="0272"/>
    <s v="GUENE"/>
    <d v="2022-04-19T00:00:00"/>
    <x v="4"/>
    <s v="GE0207_x000a_GE0249"/>
    <s v="FR-500-GE-0195-2022"/>
    <s v="300-CMA-1974-2020"/>
    <s v="Suministro de materiales, elementos de ferretería, herramientas y elementos afines para EMCALI EICE ESP"/>
    <n v="150974278"/>
    <s v="60 dias"/>
    <s v="N/A"/>
    <m/>
    <n v="202203560"/>
    <m/>
    <s v="N/A"/>
    <s v="N/A"/>
    <s v="N/A"/>
    <x v="1"/>
    <s v="LUCY ARBELAEZ"/>
    <d v="2022-04-20T00:00:00"/>
    <e v="#REF!"/>
    <e v="#REF!"/>
    <s v="SI"/>
    <s v="Entregado al area"/>
    <x v="1"/>
    <s v="17 de mayo en invitacion de ofertas_x000a_23 DE MAYO EN ACEPTACION DE OFERTA_x000a_9 de junio entregado al area"/>
    <m/>
    <d v="2022-06-09T00:00:00"/>
    <s v="Jun"/>
    <m/>
    <n v="51"/>
    <n v="50"/>
    <s v="N/A"/>
    <s v="INVERSION"/>
    <s v="300-CMA-1974-2020/500-AO-1929-2022_x000a_300-CMA-1974-2020 500-AO-1930-2022"/>
    <d v="2022-05-25T00:00:00"/>
    <n v="150974278"/>
    <s v="EQUIPOS Y HERRAMIENTAS INDUSTRIALES SAS"/>
    <s v="202205614_x000a_20225615"/>
    <n v="0"/>
    <m/>
    <m/>
    <m/>
    <m/>
    <m/>
    <s v="YUMBO"/>
    <s v="MUNICIPAL"/>
    <m/>
    <n v="0"/>
    <n v="1"/>
    <n v="0"/>
  </r>
  <r>
    <n v="230"/>
    <s v="0273"/>
    <s v="GUENE"/>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s v="ESTEFANIA SANCHEZ"/>
    <d v="2022-04-20T00:00:00"/>
    <n v="43"/>
    <n v="43"/>
    <s v="SI"/>
    <s v="Entregado al area"/>
    <x v="1"/>
    <s v="5 DE MAYO EN REVISION POR PARTE DE LA COORDINADORA_x000a_23 DE MAYO ENTREGADO AL AREA"/>
    <m/>
    <d v="2022-05-23T00:00:00"/>
    <s v="May"/>
    <m/>
    <n v="33"/>
    <n v="33"/>
    <s v="N/A"/>
    <s v="FUNCIONAMIENTO"/>
    <s v="300-CMA-1743-2021/500-AO-1915-2022"/>
    <d v="2022-05-13T00:00:00"/>
    <n v="575920016"/>
    <s v="CENTELSA SA"/>
    <m/>
    <n v="30311580"/>
    <m/>
    <m/>
    <m/>
    <m/>
    <m/>
    <m/>
    <m/>
    <m/>
    <n v="5.0000000329906924E-2"/>
    <n v="1"/>
    <n v="0"/>
  </r>
  <r>
    <n v="231"/>
    <s v="0274"/>
    <s v="GUENAA"/>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s v="SIN ASIGNAR"/>
    <m/>
    <e v="#VALUE!"/>
    <e v="#VALUE!"/>
    <s v="NO"/>
    <s v="Devuelto"/>
    <x v="2"/>
    <m/>
    <s v="DEVUELTO POR SOLICITUD DEL AREA EL 25DE ABRIL"/>
    <d v="2022-04-25T00:00:00"/>
    <m/>
    <s v="abr"/>
    <n v="4"/>
    <n v="44676"/>
    <m/>
    <s v="FUNCIONAMIENTO"/>
    <m/>
    <m/>
    <m/>
    <m/>
    <m/>
    <m/>
    <m/>
    <m/>
    <m/>
    <m/>
    <m/>
    <m/>
    <m/>
    <m/>
    <m/>
    <n v="1"/>
    <m/>
  </r>
  <r>
    <n v="232"/>
    <s v="0275"/>
    <s v="GUENE"/>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s v="HAROLD MONDRAGON"/>
    <d v="2022-04-22T00:00:00"/>
    <e v="#VALUE!"/>
    <e v="#VALUE!"/>
    <s v="NO"/>
    <s v="Cerrado"/>
    <x v="0"/>
    <m/>
    <s v="9 de mayo en elaboracion de la fpa y cc_x000a_24 DE MAYO SE PUBLICARA_x000a_9 DE JUNIO CERRADO POR FALTA DE PRESUPUESTO"/>
    <d v="2022-06-09T00:00:00"/>
    <m/>
    <s v="jun"/>
    <n v="49"/>
    <n v="48"/>
    <m/>
    <s v="INVERSION"/>
    <m/>
    <m/>
    <m/>
    <m/>
    <m/>
    <m/>
    <m/>
    <m/>
    <m/>
    <m/>
    <m/>
    <m/>
    <m/>
    <m/>
    <m/>
    <n v="1"/>
    <m/>
  </r>
  <r>
    <n v="233"/>
    <s v="0276"/>
    <s v="GUENE"/>
    <d v="2022-04-21T00:00:00"/>
    <x v="4"/>
    <s v="GE0291"/>
    <s v="FR-500-GE-0196-2022"/>
    <s v="N/A"/>
    <s v="Suministro DDP y configuaración de medidores ION SCHNEIDER 92040 para la calidad de la energía en subestaciones, , clase A."/>
    <n v="886776000"/>
    <m/>
    <s v="900-IPU-0276-2022"/>
    <s v="IPU"/>
    <n v="202202877"/>
    <m/>
    <s v="N/A"/>
    <s v="N/A"/>
    <s v="Mayor cuantia"/>
    <x v="0"/>
    <s v="JULIETA ORTIZ"/>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m/>
    <s v="ago"/>
    <n v="103"/>
    <n v="81"/>
    <s v="G"/>
    <s v="INVERSION"/>
    <m/>
    <m/>
    <m/>
    <m/>
    <m/>
    <m/>
    <m/>
    <m/>
    <m/>
    <m/>
    <m/>
    <m/>
    <m/>
    <m/>
    <m/>
    <n v="1"/>
    <m/>
  </r>
  <r>
    <n v="234"/>
    <s v="0277"/>
    <s v="GTI"/>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s v="PAOLA BELTRAN"/>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s v="Aug"/>
    <m/>
    <n v="103"/>
    <n v="102"/>
    <s v="N/A"/>
    <s v="FUNCIONAMIENTO"/>
    <s v="200-AO-2035-2022"/>
    <d v="2022-07-19T00:00:00"/>
    <n v="1477993090"/>
    <s v="GRUPOSIT SAS"/>
    <n v="202207181"/>
    <n v="6858350"/>
    <m/>
    <m/>
    <m/>
    <m/>
    <m/>
    <s v="CALI"/>
    <s v="LOCAL"/>
    <s v="GTI"/>
    <n v="4.6188795829972054E-3"/>
    <n v="0"/>
    <n v="2"/>
  </r>
  <r>
    <n v="235"/>
    <s v="0278"/>
    <s v="GAGHA"/>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s v="LEIDY FRANCO"/>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s v="Aug"/>
    <m/>
    <n v="131"/>
    <n v="130"/>
    <s v="N/A"/>
    <s v="FUNCIONAMIENTO"/>
    <s v="800-AO-2146-2022"/>
    <d v="2022-08-11T00:00:00"/>
    <n v="999600000"/>
    <s v="KOMATSU COLOMBIA SAS"/>
    <n v="202207814"/>
    <n v="53553998"/>
    <m/>
    <m/>
    <m/>
    <m/>
    <m/>
    <s v="CHIA CUNDINAMARCA"/>
    <s v="NACIONAL"/>
    <s v="UNIDAD GESTION ADMINISTRATIVA"/>
    <n v="5.0851060815134463E-2"/>
    <n v="0"/>
    <n v="2"/>
  </r>
  <r>
    <n v="236"/>
    <s v="0279"/>
    <s v="GAGHA"/>
    <d v="2022-04-21T00:00:00"/>
    <x v="4"/>
    <s v="GHA0080"/>
    <s v="FR-800-GHA-0145-2022"/>
    <s v="900-CMA-1925-2022"/>
    <s v="Realizar las adecuaciones locativas en el Centro de Atención Yumbo y obras complementarias"/>
    <n v="1728625910"/>
    <m/>
    <s v="N/A"/>
    <s v=""/>
    <s v="202203022_x000a_202203124"/>
    <n v="112460756"/>
    <s v="N/A"/>
    <s v="N/A"/>
    <s v="N/A"/>
    <x v="3"/>
    <s v="FRANCIA RAMÍREZ"/>
    <d v="2022-04-26T00:00:00"/>
    <e v="#VALUE!"/>
    <e v="#VALUE!"/>
    <s v="NO"/>
    <s v="Devuelto"/>
    <x v="2"/>
    <m/>
    <s v="5 de mayo se devolvio al area para que se incluya en el contrato marco de locativos"/>
    <d v="2022-05-05T00:00:00"/>
    <m/>
    <s v="may"/>
    <n v="14"/>
    <n v="9"/>
    <s v="N/A"/>
    <s v="INVERSION"/>
    <m/>
    <m/>
    <m/>
    <m/>
    <m/>
    <m/>
    <m/>
    <m/>
    <m/>
    <m/>
    <m/>
    <m/>
    <m/>
    <m/>
    <m/>
    <n v="0"/>
    <m/>
  </r>
  <r>
    <n v="237"/>
    <s v="0280"/>
    <s v="GAGHA"/>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s v="FRANCIA RAMÍREZ"/>
    <d v="2022-04-22T00:00:00"/>
    <n v="42"/>
    <n v="41"/>
    <s v="SI"/>
    <s v="Entregado al area"/>
    <x v="1"/>
    <s v="9 de mayo para solicitud de polizas_x000a_13 DE MAYO ENTREGADO AL AREA"/>
    <m/>
    <d v="2022-05-13T00:00:00"/>
    <s v="May"/>
    <m/>
    <n v="22"/>
    <n v="21"/>
    <s v="N/A"/>
    <s v="FUNCIONAMIENTO"/>
    <s v="800-CMA-1913-2021/800-AO-1909-2022"/>
    <d v="2022-05-02T00:00:00"/>
    <n v="106837718"/>
    <s v="GUSTAVO ADOLFO  TORRES DUARTE"/>
    <m/>
    <n v="5623038"/>
    <m/>
    <m/>
    <s v="N/A"/>
    <s v="N/A"/>
    <m/>
    <s v="CALI"/>
    <s v="LOCAL"/>
    <m/>
    <n v="5.0000001778398147E-2"/>
    <n v="0"/>
    <n v="0"/>
  </r>
  <r>
    <n v="238"/>
    <s v="0281"/>
    <s v="GAGHA"/>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s v="LEIDY DIANA FRANCO"/>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m/>
    <s v="jul"/>
    <n v="87"/>
    <n v="87"/>
    <m/>
    <s v="FUNCIONAMIENTO"/>
    <m/>
    <m/>
    <m/>
    <m/>
    <m/>
    <m/>
    <m/>
    <m/>
    <m/>
    <m/>
    <m/>
    <m/>
    <m/>
    <m/>
    <m/>
    <n v="0"/>
    <m/>
  </r>
  <r>
    <n v="239"/>
    <s v="0282"/>
    <s v="GTI"/>
    <d v="2022-04-22T00:00:00"/>
    <x v="4"/>
    <s v="GTI0021"/>
    <s v="FR-200-GTI-0096-2022"/>
    <s v="N/A"/>
    <s v="Contratar el servicio de soporte actualización y mantenimiento del software SAP"/>
    <n v="1240383280"/>
    <m/>
    <m/>
    <s v=""/>
    <s v="202203525_x000a_202202915"/>
    <m/>
    <s v="N/A"/>
    <s v="N/A"/>
    <s v="Mayor cuantia"/>
    <x v="3"/>
    <s v="PABLO CAICEDO"/>
    <d v="2022-04-25T00:00:00"/>
    <e v="#VALUE!"/>
    <e v="#VALUE!"/>
    <s v="NO"/>
    <s v="Cerrado"/>
    <x v="0"/>
    <m/>
    <s v="5 DE MAYO EN ELABORACION DE LA FPA Y CC_x000a_17 de mayo en respuesta a observaciones_x000a_9 de junio cerrado porque se declaro desierto"/>
    <d v="2022-06-09T00:00:00"/>
    <m/>
    <s v="jun"/>
    <n v="48"/>
    <n v="45"/>
    <m/>
    <s v="FUNCIONAMIENTO"/>
    <m/>
    <m/>
    <m/>
    <m/>
    <m/>
    <m/>
    <m/>
    <m/>
    <m/>
    <m/>
    <m/>
    <m/>
    <m/>
    <m/>
    <m/>
    <n v="0"/>
    <m/>
  </r>
  <r>
    <n v="240"/>
    <s v="0283"/>
    <s v="GTI"/>
    <d v="2022-04-22T00:00:00"/>
    <x v="4"/>
    <s v="GTI0179"/>
    <s v="FR-200-GTI-0099-2022"/>
    <s v="N/A"/>
    <s v="Servicio de Soporte y Mantenimiento aplicativo JURISOFT"/>
    <n v="36930000"/>
    <m/>
    <s v="900-IPU-0283-2022"/>
    <s v="IPU"/>
    <n v="202202335"/>
    <m/>
    <s v="N/A"/>
    <s v="N/A"/>
    <s v="Menor cuantia"/>
    <x v="0"/>
    <s v="PAOLA BELTRAN"/>
    <d v="2022-04-25T00:00:00"/>
    <e v="#VALUE!"/>
    <e v="#VALUE!"/>
    <s v="NO"/>
    <s v="Cerrado"/>
    <x v="0"/>
    <m/>
    <s v="17 de mayo respuesta a observaciones_x000a_24 DE MAYO EN EVALUACION SOBRE 1_x000a_8 junio en evaluacion sobre 1 se va a cerrar, SE REALIZARA POR SECRETARIA GENERAL PORQUE ES UN SAM"/>
    <d v="2022-06-08T00:00:00"/>
    <m/>
    <s v="jun"/>
    <n v="47"/>
    <n v="44"/>
    <m/>
    <s v="FUNCIONAMIENTO"/>
    <m/>
    <m/>
    <m/>
    <m/>
    <m/>
    <m/>
    <m/>
    <m/>
    <m/>
    <m/>
    <m/>
    <m/>
    <m/>
    <m/>
    <m/>
    <n v="0"/>
    <m/>
  </r>
  <r>
    <n v="241"/>
    <s v="0284"/>
    <s v="GTI"/>
    <d v="2022-04-22T00:00:00"/>
    <x v="4"/>
    <s v="GTI0106"/>
    <s v="FR-200-GTI-0100-2022"/>
    <s v="N/A"/>
    <s v="Servicio de Soporte y Mantenimiento aplicativo_x000a_DARUMA"/>
    <n v="41142193"/>
    <m/>
    <s v="900-IPU-0284-2022"/>
    <s v="IPU"/>
    <s v="202201949_x000a_202203487"/>
    <m/>
    <s v="N/A"/>
    <s v="N/A"/>
    <s v="Menor cuantia"/>
    <x v="0"/>
    <s v="PAOLA BELTRAN"/>
    <d v="2022-04-25T00:00:00"/>
    <e v="#VALUE!"/>
    <e v="#VALUE!"/>
    <s v="NO"/>
    <s v="Cerrado"/>
    <x v="0"/>
    <m/>
    <s v="17 DE MAYO EN REVISION DE LA CC _x000a_26 DE MAYO SE RECIBEN OFERTAS_x000a_2 de junio cerrado  SE DEVOLVIO PORQUE SE SACARA POR SECREATRIA GENERAL"/>
    <d v="2022-06-02T00:00:00"/>
    <m/>
    <s v="jun"/>
    <n v="41"/>
    <n v="38"/>
    <m/>
    <s v="FUNCIONAMIENTO"/>
    <m/>
    <m/>
    <m/>
    <m/>
    <m/>
    <m/>
    <m/>
    <m/>
    <m/>
    <m/>
    <m/>
    <m/>
    <m/>
    <m/>
    <m/>
    <n v="0"/>
    <m/>
  </r>
  <r>
    <n v="242"/>
    <s v="0285"/>
    <s v="GUENE"/>
    <d v="2022-04-08T00:00:00"/>
    <x v="4"/>
    <s v="GE0313"/>
    <s v="FR-500-GE-0115-2022"/>
    <s v="N/A"/>
    <s v="Calibración de Instrumentos y Equipos de Laboratorio"/>
    <n v="40712800"/>
    <m/>
    <s v="900-IPU-0285-2022"/>
    <s v="IPU"/>
    <n v="202201683"/>
    <m/>
    <s v="N/A"/>
    <s v="N/A"/>
    <s v="Menor cuantia"/>
    <x v="0"/>
    <s v="JUAN DAVID GOMEZ"/>
    <d v="2022-04-08T00:00:00"/>
    <e v="#VALUE!"/>
    <e v="#VALUE!"/>
    <s v="NO"/>
    <s v="Cerrado"/>
    <x v="0"/>
    <m/>
    <s v="28 de abril publicado _x000a_11 de mayo se reciben ofertas_x000a_17 DE MAYO SE CERRO PORQUE NINGUN OFERENTE SE PRESENTO"/>
    <d v="2022-05-17T00:00:00"/>
    <m/>
    <s v="may"/>
    <n v="39"/>
    <n v="39"/>
    <s v="G"/>
    <s v="FUNCIONAMIENTO"/>
    <m/>
    <m/>
    <m/>
    <m/>
    <m/>
    <m/>
    <n v="40712800"/>
    <m/>
    <m/>
    <m/>
    <m/>
    <m/>
    <m/>
    <m/>
    <m/>
    <n v="1"/>
    <m/>
  </r>
  <r>
    <n v="243"/>
    <s v="0286"/>
    <s v="GUENAA"/>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s v="HAROLD MONDRAGON"/>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m/>
    <s v="dic"/>
    <n v="221"/>
    <n v="220"/>
    <m/>
    <s v="INVERSION"/>
    <m/>
    <m/>
    <m/>
    <m/>
    <m/>
    <m/>
    <m/>
    <m/>
    <m/>
    <m/>
    <m/>
    <m/>
    <m/>
    <m/>
    <m/>
    <n v="1"/>
    <m/>
  </r>
  <r>
    <n v="244"/>
    <s v="0287"/>
    <s v="GUENAA"/>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s v="JUAN PABLO QUIMBAYO"/>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m/>
    <s v="oct"/>
    <n v="177"/>
    <n v="173"/>
    <m/>
    <s v="INVERSION"/>
    <m/>
    <m/>
    <m/>
    <m/>
    <m/>
    <m/>
    <m/>
    <m/>
    <m/>
    <m/>
    <m/>
    <m/>
    <m/>
    <m/>
    <m/>
    <n v="1"/>
    <m/>
  </r>
  <r>
    <n v="245"/>
    <s v="0288"/>
    <s v="GUENAA"/>
    <d v="2022-04-25T00:00:00"/>
    <x v="4"/>
    <s v="GAA0266_x000a_GAA0268"/>
    <s v="FR-300-GAA-0139-2022"/>
    <s v="N/A"/>
    <s v="Suministro e instalación de unidades de bombeo centrifugas PTAP y Bocatoma &quot;La Reforma&quot;"/>
    <n v="62299950"/>
    <m/>
    <s v="900-IPU-0288-2022"/>
    <s v="IPU"/>
    <s v="202202917_x000a_202202918"/>
    <m/>
    <s v="N/A"/>
    <s v="N/A"/>
    <s v="Menor cuantia"/>
    <x v="0"/>
    <s v="ANA MARIA GIL"/>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m/>
    <s v="jun"/>
    <n v="43"/>
    <n v="42"/>
    <m/>
    <s v="INVERSION"/>
    <m/>
    <m/>
    <m/>
    <m/>
    <m/>
    <m/>
    <m/>
    <m/>
    <m/>
    <m/>
    <m/>
    <m/>
    <m/>
    <m/>
    <m/>
    <n v="1"/>
    <m/>
  </r>
  <r>
    <n v="246"/>
    <s v="0289"/>
    <s v="GTI"/>
    <d v="2022-04-26T00:00:00"/>
    <x v="4"/>
    <s v="GTI0082"/>
    <s v="FR-200-GTI-0098-2022"/>
    <s v="N/A"/>
    <s v="Servicio en la nube (SaaS) del software AutoCad (AutoCad Full, AutoCad LT)"/>
    <n v="97036465"/>
    <m/>
    <s v="900-IPU-0289-2022"/>
    <s v="IPU"/>
    <n v="202202916"/>
    <m/>
    <s v="N/A"/>
    <s v="N/A"/>
    <s v="Menor cuantia"/>
    <x v="0"/>
    <s v="PAOLA BELTRAN"/>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m/>
    <s v="nov"/>
    <n v="212"/>
    <n v="212"/>
    <m/>
    <s v="FUNCIONAMIENTO"/>
    <m/>
    <m/>
    <m/>
    <m/>
    <m/>
    <m/>
    <m/>
    <m/>
    <m/>
    <m/>
    <m/>
    <m/>
    <m/>
    <m/>
    <m/>
    <n v="0"/>
    <m/>
  </r>
  <r>
    <n v="247"/>
    <s v="0290"/>
    <s v="GUENAA"/>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s v="LINA ECHAVARRIA"/>
    <d v="2022-04-25T00:00:00"/>
    <e v="#VALUE!"/>
    <e v="#VALUE!"/>
    <s v="NO"/>
    <s v="Devuelto"/>
    <x v="2"/>
    <m/>
    <s v="17 de mayo el area solicito unos ajustes y solicito devolverla"/>
    <d v="2022-05-17T00:00:00"/>
    <m/>
    <s v="may"/>
    <n v="22"/>
    <n v="22"/>
    <s v="G"/>
    <s v="FUNCIONAMIENTO"/>
    <m/>
    <m/>
    <m/>
    <m/>
    <m/>
    <m/>
    <m/>
    <m/>
    <m/>
    <m/>
    <m/>
    <m/>
    <m/>
    <m/>
    <m/>
    <n v="1"/>
    <m/>
  </r>
  <r>
    <n v="248"/>
    <s v="0291"/>
    <s v="GUENAA"/>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s v="LUCY ARBELAEZ"/>
    <d v="2022-04-27T00:00:00"/>
    <n v="-44678"/>
    <n v="-44678"/>
    <s v="SI"/>
    <s v="Entregado al area"/>
    <x v="1"/>
    <s v="17 de mayo en invitacion de ofertas_x000a_23 DE MAYOEN RECEPCION DE OFERTAS_x000a_9 de junio en rp"/>
    <m/>
    <d v="2022-06-29T00:00:00"/>
    <s v="Jul"/>
    <m/>
    <n v="63"/>
    <n v="63"/>
    <s v="N/A"/>
    <s v="FUNCIONAMIENTO"/>
    <s v="300-CMA-1974-2020-300-AO-1964-2022_x000a__x000a_300-CMA-1974-2020-300-AO-1965-2022"/>
    <d v="2022-06-21T00:00:00"/>
    <n v="54579607"/>
    <s v="ALMACEN  RODAFER  RF SAS_x000a_EQUIPOS Y HERRAMIENTAS INDUSTRAILES SAS"/>
    <s v="202205824_x000a_202205825"/>
    <n v="268751"/>
    <m/>
    <m/>
    <m/>
    <m/>
    <m/>
    <s v="CALI"/>
    <s v="LOCAL"/>
    <s v="UNIDAD DE BOMBEO"/>
    <n v="4.8998914425113695E-3"/>
    <n v="1"/>
    <n v="0"/>
  </r>
  <r>
    <n v="249"/>
    <s v="0292"/>
    <s v="GUENAA"/>
    <d v="2022-04-27T00:00:00"/>
    <x v="4"/>
    <s v="GAA0636"/>
    <s v="FR-300-GAA-0144-2022"/>
    <s v="N/A"/>
    <s v="Suministro e Instalación de valvulas cheque para clorinadores PTAP"/>
    <n v="146915020"/>
    <m/>
    <s v="900-IPU-0292-2022"/>
    <s v="IPU"/>
    <n v="202202905"/>
    <m/>
    <s v="N/A"/>
    <s v="N/A"/>
    <s v="Menor cuantia"/>
    <x v="0"/>
    <s v="JUAN DAVID GOMEZ"/>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m/>
    <s v="may"/>
    <n v="23"/>
    <n v="11"/>
    <s v="G"/>
    <s v="FUNCIONAMIENTO"/>
    <m/>
    <m/>
    <m/>
    <m/>
    <m/>
    <m/>
    <m/>
    <m/>
    <m/>
    <m/>
    <m/>
    <m/>
    <m/>
    <m/>
    <m/>
    <n v="1"/>
    <m/>
  </r>
  <r>
    <n v="250"/>
    <s v="0293"/>
    <s v="GUENAA"/>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s v="JUAN PABLO QUIMBAYO"/>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m/>
    <s v="ago"/>
    <n v="94"/>
    <n v="88"/>
    <m/>
    <s v="FUNCIONAMIENTO"/>
    <m/>
    <m/>
    <m/>
    <m/>
    <m/>
    <m/>
    <m/>
    <m/>
    <m/>
    <m/>
    <m/>
    <m/>
    <m/>
    <m/>
    <m/>
    <n v="1"/>
    <m/>
  </r>
  <r>
    <n v="251"/>
    <s v="0294"/>
    <s v="GTI"/>
    <d v="2022-04-29T00:00:00"/>
    <x v="4"/>
    <s v="GTI0027"/>
    <s v="FR-200-GTI-0101-2022"/>
    <s v="N/A"/>
    <s v="Renovación de las suscripciones en la nube de Microsoft Dynamics CRM"/>
    <n v="455000000"/>
    <m/>
    <s v="900-IPU-0294-2022"/>
    <s v="IPU"/>
    <n v="202203098"/>
    <m/>
    <s v="N/A"/>
    <s v="N/A"/>
    <s v="Menor cuantia"/>
    <x v="0"/>
    <s v="PAOLA BELTRAN"/>
    <d v="2022-04-30T00:00:00"/>
    <e v="#VALUE!"/>
    <e v="#VALUE!"/>
    <s v="NO"/>
    <s v="Cerrado"/>
    <x v="0"/>
    <m/>
    <s v="17 de mayo en recepcion de observaciones_x000a_9 de junio evaluacion_x000a_22 DE JUNIO CERRADO PORQUE NO CUMPLIERON LOS PROPONENTES"/>
    <d v="2022-06-22T00:00:00"/>
    <m/>
    <s v="jun"/>
    <n v="54"/>
    <n v="53"/>
    <m/>
    <s v="FUNCIONAMIENTO"/>
    <m/>
    <m/>
    <m/>
    <m/>
    <m/>
    <m/>
    <m/>
    <m/>
    <m/>
    <m/>
    <m/>
    <m/>
    <m/>
    <m/>
    <m/>
    <n v="0"/>
    <m/>
  </r>
  <r>
    <n v="252"/>
    <s v="0295"/>
    <s v="GUENAA"/>
    <d v="2022-04-29T00:00:00"/>
    <x v="4"/>
    <s v="GAA0374_x000a_GAA0375"/>
    <s v="FR-300-GAA-0142-2022"/>
    <s v="N/A"/>
    <s v="Suministro de elementos eléctricos para todas las estaciones de bombeo de aguas lluvias y/o residuales"/>
    <n v="62022081"/>
    <m/>
    <s v="900-IPU-0295-2022"/>
    <s v="IPU"/>
    <n v="202201836"/>
    <m/>
    <s v="N/A"/>
    <s v="N/A"/>
    <s v="Menor cuantia"/>
    <x v="0"/>
    <s v="LINA ECHAVARRIA"/>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m/>
    <s v="jul"/>
    <n v="74"/>
    <n v="71"/>
    <m/>
    <s v="FUNCIONAMIENTO"/>
    <m/>
    <m/>
    <m/>
    <m/>
    <m/>
    <m/>
    <m/>
    <m/>
    <m/>
    <m/>
    <m/>
    <m/>
    <m/>
    <m/>
    <m/>
    <n v="1"/>
    <m/>
  </r>
  <r>
    <n v="253"/>
    <s v="0296"/>
    <s v="GAGHA"/>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s v="Sep"/>
    <m/>
    <n v="142"/>
    <n v="142"/>
    <s v="N/A"/>
    <s v="FUNCIONAMIENTO"/>
    <s v="800-CMA-1916-2021/800-AO-2259-2022"/>
    <d v="2022-09-07T00:00:00"/>
    <n v="36514969"/>
    <s v="CONSORCIO IGS 2021"/>
    <n v="202208357"/>
    <n v="0"/>
    <m/>
    <m/>
    <m/>
    <m/>
    <m/>
    <s v="CALI"/>
    <s v="LOCAL"/>
    <s v="UNIDAD GESTIÓN ADMINISTRATIVA"/>
    <n v="0"/>
    <n v="0"/>
    <n v="0"/>
  </r>
  <r>
    <n v="254"/>
    <s v="0297"/>
    <s v="GAGHA"/>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s v="Sep"/>
    <m/>
    <n v="142"/>
    <n v="142"/>
    <s v="N/A"/>
    <s v="FUNCIONAMIENTO"/>
    <s v="CMA-1925-2021-800-AO-2261-2022 "/>
    <d v="2022-09-07T00:00:00"/>
    <n v="50000000"/>
    <s v="CONSORCIO DOMAQ 2021"/>
    <n v="202208355"/>
    <n v="0"/>
    <m/>
    <m/>
    <m/>
    <m/>
    <m/>
    <s v="CALI"/>
    <s v="LOCAL"/>
    <s v="UNIDAD GESTIÓN ADMINISTRATIVA"/>
    <n v="0"/>
    <n v="0"/>
    <n v="0"/>
  </r>
  <r>
    <n v="255"/>
    <s v="0298"/>
    <s v="GAGHA"/>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s v="Sep"/>
    <m/>
    <n v="133"/>
    <n v="133"/>
    <s v="N/A"/>
    <s v="FUNCIONAMIENTO"/>
    <s v="800-CMA-1913-2021/800-AO-2250-2022"/>
    <d v="2022-09-05T00:00:00"/>
    <n v="50000000"/>
    <s v="GUSTAVO ADOLFO TORRES DUARTE"/>
    <n v="202208310"/>
    <n v="0"/>
    <m/>
    <m/>
    <m/>
    <m/>
    <m/>
    <s v="BOGOTA"/>
    <s v="NACIONAL"/>
    <s v="UNIDAD GESTIÓN ADMINISTRATIVA"/>
    <n v="0"/>
    <n v="0"/>
    <n v="0"/>
  </r>
  <r>
    <n v="256"/>
    <s v="0299"/>
    <s v="GAGHA"/>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s v="LEIDY DIANA FRANCO"/>
    <d v="2022-05-02T00:00:00"/>
    <e v="#VALUE!"/>
    <e v="#VALUE!"/>
    <s v="NO"/>
    <s v="Devuelto"/>
    <x v="2"/>
    <m/>
    <s v="23 DE MAYO EN INTELIGENCIA DE MERCADO_x000a_8 DE JUNIO CERRADO PARA SACAR POR IP_x000a_ESTE PROCESO SE DEVOLVIO PORQUE LO VAN A VOLVER A RADICAR CON ESPECIFICACIONES DISTINTAS "/>
    <d v="2022-07-27T00:00:00"/>
    <m/>
    <s v="jul"/>
    <n v="86"/>
    <n v="86"/>
    <m/>
    <s v="FUNCIONAMIENTO"/>
    <m/>
    <m/>
    <m/>
    <m/>
    <m/>
    <m/>
    <m/>
    <m/>
    <m/>
    <m/>
    <m/>
    <m/>
    <m/>
    <m/>
    <m/>
    <n v="0"/>
    <m/>
  </r>
  <r>
    <n v="257"/>
    <s v="0300"/>
    <s v="GUENE"/>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s v="JUAN PABLO QUIMBAYO"/>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m/>
    <s v="ago"/>
    <n v="91"/>
    <n v="91"/>
    <m/>
    <s v="FUNCIONAMIENTO"/>
    <m/>
    <m/>
    <m/>
    <m/>
    <m/>
    <m/>
    <m/>
    <m/>
    <m/>
    <m/>
    <m/>
    <m/>
    <m/>
    <m/>
    <m/>
    <n v="1"/>
    <m/>
  </r>
  <r>
    <n v="258"/>
    <s v="0301"/>
    <s v="GUENAA"/>
    <d v="2022-05-05T00:00:00"/>
    <x v="5"/>
    <s v="GAA0667"/>
    <s v="FR-300-GAA-0148-2022"/>
    <s v="N/A"/>
    <s v="Suministro valvulas bocatoma Río Cauca"/>
    <n v="137054145"/>
    <m/>
    <s v="900-IPU-0301-2022"/>
    <s v="IPU"/>
    <n v="202203121"/>
    <m/>
    <s v="N/A"/>
    <s v="N/A"/>
    <s v="Menor cuantia"/>
    <x v="0"/>
    <s v="LINA ECHAVARRIA"/>
    <d v="2022-05-10T00:00:00"/>
    <e v="#VALUE!"/>
    <e v="#VALUE!"/>
    <s v="NO"/>
    <s v="CERRADO PARA TRAMITAR COMO IP "/>
    <x v="0"/>
    <m/>
    <s v="17 de mayo en inteligencia de mercado_x000a_24 DE MAYO EN INTELIGENCIA DE MERCADO_x000a_9 de junio pendiente firma de la fpa y cc"/>
    <d v="2022-06-09T00:00:00"/>
    <m/>
    <s v="jun"/>
    <n v="35"/>
    <n v="30"/>
    <m/>
    <s v="FUNCIONAMIENTO"/>
    <m/>
    <m/>
    <m/>
    <m/>
    <m/>
    <m/>
    <m/>
    <m/>
    <m/>
    <m/>
    <m/>
    <m/>
    <m/>
    <m/>
    <m/>
    <n v="1"/>
    <m/>
  </r>
  <r>
    <n v="259"/>
    <s v="0302"/>
    <s v="GUENAA"/>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s v="HAROLD MONDRAGON"/>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s v="Sep"/>
    <m/>
    <n v="120"/>
    <n v="115"/>
    <s v="N/A"/>
    <s v="FUNCIONAMIENTO"/>
    <s v="300-AO-2175-2022"/>
    <d v="2022-08-19T00:00:00"/>
    <n v="271765060"/>
    <s v="PAYAN Y CIA LTDA "/>
    <n v="202208264"/>
    <n v="8225329"/>
    <m/>
    <m/>
    <m/>
    <m/>
    <m/>
    <s v="CALI"/>
    <s v="LOCAL"/>
    <s v="UNIDAD DE MANTENIMIENTO"/>
    <n v="2.9377183371819236E-2"/>
    <n v="1"/>
    <n v="2"/>
  </r>
  <r>
    <n v="260"/>
    <s v="0303"/>
    <s v="GUENAA"/>
    <d v="2022-05-04T00:00:00"/>
    <x v="5"/>
    <s v="GAA0303"/>
    <s v="FR-300-GAA-0059-2022"/>
    <s v="N/A"/>
    <s v="Mantenimiento sistema Scada a estaciones y plantas de tratamiento de Agua Potable"/>
    <n v="179985537"/>
    <s v="120 DIAS"/>
    <s v="900-IPU-0303-2022"/>
    <m/>
    <n v="202200892"/>
    <m/>
    <s v="N/A"/>
    <s v="N/A"/>
    <s v="Menor cuantia"/>
    <x v="0"/>
    <s v="HAROLD MONDRAGON"/>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s v="Jul"/>
    <m/>
    <n v="76"/>
    <n v="70"/>
    <s v="N/A"/>
    <s v="FUNCIONAMIENTO"/>
    <s v="300-AO-18987-2022"/>
    <d v="2022-07-08T00:00:00"/>
    <n v="176439396"/>
    <s v="CONINFRAESTRUCTURA SAS"/>
    <m/>
    <n v="3546141"/>
    <m/>
    <m/>
    <m/>
    <m/>
    <m/>
    <s v="BOGOTA"/>
    <s v="NACIONAL"/>
    <s v="UNIDAD DE MANTENIMIENTO"/>
    <n v="1.9702366418475059E-2"/>
    <n v="1"/>
    <n v="2"/>
  </r>
  <r>
    <n v="261"/>
    <s v="0304"/>
    <s v="GTI"/>
    <d v="2022-05-09T00:00:00"/>
    <x v="5"/>
    <s v="GTI0183"/>
    <s v="FR-200-GTI-0103-2022"/>
    <s v="N/A"/>
    <s v="Prestar los servicios de Cloud Funtional Services, Features y Parameters para la solución SAP Ariba Sourcing Suite de EMCALI EICE ESP"/>
    <n v="90170000"/>
    <m/>
    <m/>
    <s v=""/>
    <n v="202203526"/>
    <m/>
    <s v="N/A"/>
    <s v="N/A"/>
    <s v="Menor cuantia"/>
    <x v="3"/>
    <s v="PABLO CAICEDO"/>
    <d v="2022-05-19T00:00:00"/>
    <e v="#VALUE!"/>
    <e v="#VALUE!"/>
    <s v="NO"/>
    <s v="CERRADO PARA TRAMITAR COMO IP "/>
    <x v="0"/>
    <m/>
    <m/>
    <d v="2022-06-07T00:00:00"/>
    <m/>
    <s v="jun"/>
    <n v="29"/>
    <n v="19"/>
    <m/>
    <s v="FUNCIONAMIENTO"/>
    <m/>
    <m/>
    <m/>
    <m/>
    <m/>
    <m/>
    <m/>
    <m/>
    <m/>
    <m/>
    <m/>
    <m/>
    <m/>
    <m/>
    <m/>
    <n v="0"/>
    <m/>
  </r>
  <r>
    <n v="262"/>
    <s v="0305"/>
    <s v="GUENE"/>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s v="ESTEFANIA SANCHEZ"/>
    <d v="2022-05-09T00:00:00"/>
    <e v="#REF!"/>
    <e v="#REF!"/>
    <m/>
    <s v="Entregado al area"/>
    <x v="1"/>
    <s v="24 DE MAYO EN SOLICITUD DE POLIZAS"/>
    <m/>
    <d v="2022-06-02T00:00:00"/>
    <s v="Jun"/>
    <m/>
    <n v="24"/>
    <n v="24"/>
    <s v="N/A"/>
    <s v="FUNCIONAMIENTO"/>
    <s v="CMA-1743-2021/"/>
    <d v="2022-05-17T00:00:00"/>
    <n v="144299400"/>
    <s v="CENTELSA SA"/>
    <n v="202205444"/>
    <n v="7604100"/>
    <m/>
    <m/>
    <m/>
    <m/>
    <m/>
    <s v="YUMBO"/>
    <s v="LOCAL"/>
    <m/>
    <n v="5.0058754406580495E-2"/>
    <n v="1"/>
    <n v="0"/>
  </r>
  <r>
    <n v="263"/>
    <s v="0306"/>
    <s v="GTI"/>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s v="PAOLA BELTRAN"/>
    <d v="2022-05-18T00:00:00"/>
    <e v="#VALUE!"/>
    <e v="#VALUE!"/>
    <s v="NO"/>
    <s v="Cerrado"/>
    <x v="0"/>
    <m/>
    <s v="13 de junio en recepcion de ofertas_x000a_15 de julio en elaboracion de acta de cierre, las propuestas fueron inadmisibles"/>
    <d v="2022-07-15T00:00:00"/>
    <m/>
    <s v="jul"/>
    <n v="66"/>
    <n v="58"/>
    <m/>
    <s v="FUNCIONAMIENTO"/>
    <m/>
    <m/>
    <m/>
    <m/>
    <m/>
    <m/>
    <e v="#VALUE!"/>
    <m/>
    <m/>
    <m/>
    <m/>
    <m/>
    <m/>
    <m/>
    <m/>
    <n v="0"/>
    <m/>
  </r>
  <r>
    <n v="264"/>
    <s v="0307"/>
    <s v="GUENAA"/>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s v="HAROLD MONDRAGON"/>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s v="Aug"/>
    <m/>
    <n v="110"/>
    <n v="109"/>
    <s v="N/A"/>
    <s v="FUNCIONAMIENTO"/>
    <s v="300-PS-2179-2022"/>
    <d v="2022-08-19T00:00:00"/>
    <n v="10770820097"/>
    <s v="DELTEC SA"/>
    <n v="202207861"/>
    <n v="65818307"/>
    <m/>
    <m/>
    <m/>
    <m/>
    <m/>
    <s v="CALI"/>
    <s v="LOCAL"/>
    <s v="UNIDAD DE CONTROL INTEGRAL DE PERDIDAS DE AGUA"/>
    <n v="6.0736830506133033E-3"/>
    <n v="1"/>
    <n v="2"/>
  </r>
  <r>
    <n v="265"/>
    <s v="0308"/>
    <s v="GUENAA"/>
    <d v="2022-05-11T00:00:00"/>
    <x v="5"/>
    <s v="N/A"/>
    <s v="FR-300-GAA-0150-2022"/>
    <s v="N/A"/>
    <s v="Suministrar coagulante líquido para ser utilizado en el tratamiento de las aguas residuales en la PTAR C."/>
    <m/>
    <m/>
    <m/>
    <s v=""/>
    <s v="N/A"/>
    <m/>
    <s v="N/A"/>
    <s v="N/A"/>
    <s v="N/A"/>
    <x v="3"/>
    <s v="AYDEE OVALLE"/>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m/>
    <s v="ago"/>
    <n v="90"/>
    <n v="90"/>
    <m/>
    <s v="FUNCIONAMIENTO"/>
    <m/>
    <m/>
    <m/>
    <m/>
    <m/>
    <m/>
    <m/>
    <m/>
    <m/>
    <m/>
    <m/>
    <m/>
    <m/>
    <m/>
    <m/>
    <n v="1"/>
    <m/>
  </r>
  <r>
    <n v="266"/>
    <s v="0309"/>
    <s v="GUENAA"/>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s v="PAOLA BELTRAN"/>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s v="Aug"/>
    <m/>
    <n v="102"/>
    <n v="101"/>
    <s v="N/A"/>
    <s v="FUNCIONAMIENTO"/>
    <s v="300-AO-2164-2022"/>
    <d v="2022-08-19T00:00:00"/>
    <n v="148519461"/>
    <s v="IMATIC INGENIERIA SAS"/>
    <n v="202207856"/>
    <n v="5466539"/>
    <m/>
    <m/>
    <m/>
    <m/>
    <m/>
    <s v="CALI"/>
    <s v="LOCAL"/>
    <s v="UNIDAD DE SOPORTE OPERATIVO"/>
    <n v="3.5500233787487172E-2"/>
    <n v="1"/>
    <n v="2"/>
  </r>
  <r>
    <n v="267"/>
    <s v="0310"/>
    <s v="GUENE"/>
    <d v="2022-05-12T00:00:00"/>
    <x v="5"/>
    <s v="GE0324"/>
    <s v="FR-500-GE-0197-2022"/>
    <s v="N/A"/>
    <s v="Suministro de Medidores de Energía Electronicos para Medida Directa"/>
    <n v="667336173"/>
    <m/>
    <s v="900-IPU-0310-2022"/>
    <s v="IPU"/>
    <n v="202203902"/>
    <m/>
    <s v="N/A"/>
    <s v="N/A"/>
    <s v="Mayor cuantia"/>
    <x v="0"/>
    <s v="HAROLD MONDRAGON"/>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m/>
    <s v="jul"/>
    <n v="67"/>
    <n v="66"/>
    <m/>
    <s v="FUNCIONAMIENTO"/>
    <m/>
    <m/>
    <m/>
    <m/>
    <m/>
    <m/>
    <m/>
    <m/>
    <m/>
    <m/>
    <m/>
    <m/>
    <m/>
    <m/>
    <m/>
    <n v="1"/>
    <m/>
  </r>
  <r>
    <n v="268"/>
    <s v="0311"/>
    <s v="GUENE"/>
    <d v="2022-05-12T00:00:00"/>
    <x v="5"/>
    <s v="GE0243"/>
    <s v="FR-500-GE-0200-2022"/>
    <s v="N/A"/>
    <s v="Suministro de Equipo Cabrestante Portacarrete Portatil Motorizado"/>
    <n v="269000000"/>
    <m/>
    <s v="900-IPU-0311-2022"/>
    <s v="IPU"/>
    <n v="202203909"/>
    <m/>
    <s v="N/A"/>
    <s v="N/A"/>
    <s v="Menor cuantia"/>
    <x v="0"/>
    <s v="JULIETA ORTIZ"/>
    <d v="2022-05-13T00:00:00"/>
    <e v="#VALUE!"/>
    <e v="#VALUE!"/>
    <s v="NO"/>
    <s v="CERRADO PARA TRAMITAR COMO IP "/>
    <x v="0"/>
    <m/>
    <s v="24 DE MAYO EN SOLICITUD DE CONCEPTOS Y ESPRANDO INFO DEL AREA_x000a_2 de Junio en espera de la IM_x000a_8 de junio se cierra para realizarlo por IP "/>
    <d v="2022-06-08T00:00:00"/>
    <m/>
    <s v="jun"/>
    <n v="27"/>
    <n v="26"/>
    <s v="G"/>
    <s v="INVERSION"/>
    <m/>
    <m/>
    <m/>
    <m/>
    <m/>
    <m/>
    <m/>
    <m/>
    <m/>
    <m/>
    <m/>
    <m/>
    <m/>
    <m/>
    <m/>
    <n v="1"/>
    <m/>
  </r>
  <r>
    <n v="269"/>
    <s v="0312"/>
    <s v="GG"/>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s v="PAOLA BELTRAN"/>
    <d v="2022-05-18T00:00:00"/>
    <e v="#VALUE!"/>
    <e v="#VALUE!"/>
    <s v="NO"/>
    <s v="CERRADO PARA TRAMITAR COMO IP "/>
    <x v="0"/>
    <m/>
    <s v="24 DE MAYO EN ELABORACION DE FPA E INVITACION SE MANEJARA COMO IP_x000a_8 de junio se cierra porque se va a tramitar por ip despues de la ley de garantias"/>
    <d v="2022-06-08T00:00:00"/>
    <m/>
    <s v="jun"/>
    <n v="26"/>
    <n v="21"/>
    <m/>
    <s v="FUNCIONAMIENTO"/>
    <m/>
    <m/>
    <m/>
    <m/>
    <m/>
    <m/>
    <m/>
    <m/>
    <m/>
    <m/>
    <m/>
    <m/>
    <m/>
    <m/>
    <m/>
    <n v="0"/>
    <m/>
  </r>
  <r>
    <n v="270"/>
    <s v="0313"/>
    <s v="GUENAA"/>
    <d v="2022-05-16T00:00:00"/>
    <x v="5"/>
    <s v="PENDIENTE"/>
    <s v="FR-300-GAA-0061-2022"/>
    <s v="N/A"/>
    <s v="Suministro de dos variadores de velocidad de 1250 HP A 4160 Voltios Planta de Puerto Mallarino"/>
    <n v="3058210890"/>
    <s v="4 MESES"/>
    <s v="900-IPU-0313-2022"/>
    <m/>
    <n v="202202189"/>
    <n v="3058210890"/>
    <s v="N/A"/>
    <s v="N/A"/>
    <s v="Mayor cuantia"/>
    <x v="0"/>
    <s v="HAROLD MONDRAGON"/>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s v="Jul"/>
    <m/>
    <n v="64"/>
    <n v="64"/>
    <s v="N/A"/>
    <s v="INVERSION"/>
    <s v="300-AO-2052-2022"/>
    <d v="2022-07-25T00:00:00"/>
    <n v="3056537055"/>
    <s v="SOPORTE A LA INGENIERIA SAS"/>
    <n v="202207239"/>
    <n v="1673835"/>
    <m/>
    <m/>
    <m/>
    <m/>
    <m/>
    <s v="CALI"/>
    <s v="LOCAL"/>
    <s v="UNIDAD DE MANTENIMIENTO"/>
    <n v="5.4732490995740323E-4"/>
    <n v="1"/>
    <n v="2"/>
  </r>
  <r>
    <n v="271"/>
    <s v="0314"/>
    <s v="GUENAA"/>
    <d v="2022-05-17T00:00:00"/>
    <x v="5"/>
    <s v="GAA0378"/>
    <s v="FR-300-GAA-0151-2022"/>
    <s v="N/A"/>
    <s v="Mantenimiento equipos menores estaciones de bombeo de aguas lluvias y/o residuales"/>
    <n v="170109720"/>
    <m/>
    <s v="900-IPU-0316-2022"/>
    <s v="IPU"/>
    <n v="202201832"/>
    <m/>
    <s v="N/A"/>
    <s v="N/A"/>
    <s v="Menor cuantia"/>
    <x v="0"/>
    <s v="LINA ECHAVARRIA"/>
    <d v="2022-05-18T00:00:00"/>
    <e v="#VALUE!"/>
    <e v="#VALUE!"/>
    <s v="NO"/>
    <s v="CERRADO PARA TRAMITAR COMO IP "/>
    <x v="0"/>
    <m/>
    <s v="25 DE MAYO ELABOORACION FPA"/>
    <d v="2022-05-25T00:00:00"/>
    <m/>
    <s v="may"/>
    <n v="8"/>
    <n v="7"/>
    <m/>
    <s v="FUNCIONAMIENTO"/>
    <m/>
    <m/>
    <m/>
    <m/>
    <m/>
    <m/>
    <m/>
    <m/>
    <m/>
    <m/>
    <m/>
    <m/>
    <m/>
    <m/>
    <m/>
    <n v="1"/>
    <m/>
  </r>
  <r>
    <n v="272"/>
    <s v="0315"/>
    <s v="GUENE"/>
    <d v="2022-05-19T00:00:00"/>
    <x v="5"/>
    <s v="GE0324"/>
    <s v="FR-500-GE-0202-2022"/>
    <s v="N/A"/>
    <s v="Realizar empradización de la Plaza de Caycedo y Suministro de rollos de plástico"/>
    <n v="51600000"/>
    <s v="30 dias"/>
    <s v="900-IP-0315-2022"/>
    <m/>
    <n v="202203997"/>
    <n v="51600000"/>
    <s v="N/A"/>
    <s v="N/A"/>
    <s v="Menor cuantia"/>
    <x v="2"/>
    <s v="CRISTHIAN BURBANO"/>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s v="Jul"/>
    <m/>
    <n v="68"/>
    <n v="68"/>
    <s v="G"/>
    <s v="FUNCIONAMIENTO"/>
    <s v="500-AO-1989-2022"/>
    <d v="2022-07-08T00:00:00"/>
    <n v="50763020"/>
    <s v="PONTIFEX SAS"/>
    <n v="202206981"/>
    <n v="836980"/>
    <m/>
    <m/>
    <m/>
    <m/>
    <m/>
    <s v="CALI"/>
    <s v="LOCAL"/>
    <s v="SUBGERENCIA DISTRIBUCION"/>
    <n v="1.6220542635658915E-2"/>
    <n v="1"/>
    <n v="1"/>
  </r>
  <r>
    <n v="273"/>
    <s v="0316"/>
    <s v="GUENT"/>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s v="HAROLD MONDRAGON"/>
    <d v="2022-05-23T00:00:00"/>
    <e v="#VALUE!"/>
    <e v="#VALUE!"/>
    <s v="SI"/>
    <s v="Entregado al area"/>
    <x v="1"/>
    <s v="25 DE MAYO EN ELABORACION FPA_x000a_9 DE JUNIO SE CIERRA PARA REALIZAR POR IP"/>
    <m/>
    <d v="2022-09-12T00:00:00"/>
    <s v="Sep"/>
    <m/>
    <n v="116"/>
    <n v="112"/>
    <s v="B"/>
    <s v="INVERSION"/>
    <s v="400-AO-2256-2022"/>
    <d v="2022-09-06T00:00:00"/>
    <n v="3149999957"/>
    <s v="ITT SUPPLIES SAS"/>
    <n v="202208321"/>
    <n v="43"/>
    <m/>
    <m/>
    <m/>
    <m/>
    <m/>
    <s v="BOGOTA"/>
    <s v="NACIONAL"/>
    <s v="UNIDAD DE PROSPECTIVA Y DESARROLLO DE NEGOCIOS"/>
    <n v="1.3650793650793651E-8"/>
    <n v="1"/>
    <n v="2"/>
  </r>
  <r>
    <n v="274"/>
    <s v="0317"/>
    <s v="GUENE"/>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s v="HAROLD MONDRAGON"/>
    <d v="2022-05-20T00:00:00"/>
    <e v="#VALUE!"/>
    <e v="#VALUE!"/>
    <s v="NO"/>
    <s v="Cerrado"/>
    <x v="0"/>
    <m/>
    <s v="9 DE JUNIO EN SUBSANABLES_x000a_30 DE JUNIO CERRADO_x000a_18 DE JULIO SE CERRO PORQUE NINGUN OFERENTE CUMPLIO Y SE SACARA POR IP"/>
    <d v="2022-07-18T00:00:00"/>
    <m/>
    <s v="jul"/>
    <n v="60"/>
    <n v="59"/>
    <m/>
    <s v="FUNCIONAMIENTO"/>
    <m/>
    <m/>
    <m/>
    <m/>
    <m/>
    <m/>
    <n v="62492850"/>
    <m/>
    <m/>
    <m/>
    <m/>
    <m/>
    <m/>
    <m/>
    <m/>
    <n v="1"/>
    <m/>
  </r>
  <r>
    <n v="275"/>
    <s v="0318"/>
    <s v="GUENAA"/>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s v="JUAN PABLO QUIMBAYO"/>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m/>
    <s v="ago"/>
    <n v="73"/>
    <n v="70"/>
    <m/>
    <s v="INVERSION"/>
    <m/>
    <m/>
    <m/>
    <m/>
    <m/>
    <m/>
    <m/>
    <m/>
    <m/>
    <m/>
    <m/>
    <m/>
    <m/>
    <m/>
    <m/>
    <n v="1"/>
    <m/>
  </r>
  <r>
    <n v="276"/>
    <s v="0319"/>
    <s v="GUENAA"/>
    <d v="2022-05-25T00:00:00"/>
    <x v="5"/>
    <s v="GAA0712"/>
    <s v="FR-300-GAA-0154-2022"/>
    <s v="300-CMA-1974-2020"/>
    <s v="Suministro de materiales de ferreteria asociados con la ejecución de acometidas de acueducto afines para EMCALI EICE ESP"/>
    <n v="19667819"/>
    <s v="90 DIAS"/>
    <s v="N/A"/>
    <m/>
    <n v="202202645"/>
    <n v="23404705"/>
    <s v="N/A"/>
    <s v="N/A"/>
    <s v="N/A"/>
    <x v="1"/>
    <s v="LUCY ARBELAEZ"/>
    <d v="2022-05-25T00:00:00"/>
    <m/>
    <m/>
    <s v="SI"/>
    <s v="Entregado al area"/>
    <x v="1"/>
    <s v="9 de junio en invitacion a ofertar"/>
    <m/>
    <d v="2022-07-15T00:00:00"/>
    <s v="Jul"/>
    <m/>
    <n v="51"/>
    <n v="51"/>
    <s v="N/A"/>
    <s v="FUNCIONAMIENTO"/>
    <s v="300-CMA-1974-2020/300-AO-1972-2022"/>
    <d v="2022-06-28T00:00:00"/>
    <n v="19355438"/>
    <s v="EQUIPOS Y HERRAMIENTAS INDUSTRIALES SAS"/>
    <n v="202205861"/>
    <n v="312381"/>
    <m/>
    <m/>
    <m/>
    <m/>
    <m/>
    <s v="CALI"/>
    <s v="LOCAL"/>
    <s v="UNIDAD DE SOPORTE OPERATIVO"/>
    <n v="1.5882849033743904E-2"/>
    <n v="1"/>
    <n v="0"/>
  </r>
  <r>
    <n v="277"/>
    <s v="0320"/>
    <s v="GUENAA"/>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s v="LINA ECHAVARRIA"/>
    <d v="2022-05-25T00:00:00"/>
    <e v="#VALUE!"/>
    <e v="#VALUE!"/>
    <s v="SI"/>
    <s v="Entregado al area"/>
    <x v="1"/>
    <s v="30 DE JUNIO EN ELABORACION DE FPA E INVITACION_x000a_AYUDARA A SACAR EL PROCESO IVAN ALDANA_x000a_1 DE AGOST EN ELABORACION DE INVITACION"/>
    <m/>
    <d v="2022-09-26T00:00:00"/>
    <s v="Sep"/>
    <m/>
    <n v="124"/>
    <n v="124"/>
    <s v="G"/>
    <s v="FUNCIONAMIENTO"/>
    <s v="300-AO-2288-2022"/>
    <d v="2022-09-14T00:00:00"/>
    <n v="112978592"/>
    <s v="INGENIERIA ARANGO ANGEL SAS"/>
    <n v="202208433"/>
    <n v="618807"/>
    <m/>
    <m/>
    <m/>
    <m/>
    <m/>
    <s v="CALI"/>
    <s v="LOCAL"/>
    <s v="UNIDAD DE MANTENIMIENTO"/>
    <n v="5.4473694419711139E-3"/>
    <n v="1"/>
    <n v="1"/>
  </r>
  <r>
    <n v="278"/>
    <s v="0321"/>
    <s v="GUENAA"/>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s v="LUCY ARBELAEZ"/>
    <d v="2022-05-25T00:00:00"/>
    <n v="-44706"/>
    <n v="-44706"/>
    <s v="SI"/>
    <s v="Entregado al area"/>
    <x v="1"/>
    <s v="9 de junio en invitacion a ofertar"/>
    <m/>
    <d v="2022-07-01T00:00:00"/>
    <s v="Jul"/>
    <m/>
    <n v="37"/>
    <n v="37"/>
    <s v="N/A"/>
    <s v="FUNCIONAMIENTO"/>
    <s v="CMA-1974-2020/300-AO-1973-2022_x000a_CMA-1974-2020/300-AO-1973-2022"/>
    <d v="2022-06-28T00:00:00"/>
    <n v="37377608"/>
    <s v="ALMACEN RODAFER RF SAS_x000a_EQUIPOS Y HERRAMIENTAS INDUSTRIALES SAS"/>
    <n v="202205862"/>
    <n v="13177820"/>
    <m/>
    <m/>
    <m/>
    <m/>
    <m/>
    <s v="CALI"/>
    <s v="LOCAL"/>
    <s v="UNIDAD DE SOPORTE OPERATIVO"/>
    <n v="0.26066083349150954"/>
    <n v="1"/>
    <n v="0"/>
  </r>
  <r>
    <n v="279"/>
    <s v="0322"/>
    <s v="GUENT"/>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s v="FRANCIA RAMÍREZ"/>
    <d v="2022-05-25T00:00:00"/>
    <m/>
    <m/>
    <s v="SI"/>
    <s v="Entregado al area"/>
    <x v="1"/>
    <s v="9 de junio en aceptacion de la oferta._x000a_30 de junio en solicitud de polizas"/>
    <m/>
    <d v="2022-07-27T00:00:00"/>
    <s v="Jul"/>
    <m/>
    <n v="63"/>
    <n v="63"/>
    <s v="N/A"/>
    <s v="FUNCIONAMIENTO"/>
    <s v="500-CMA-1743-2021/500-AO-1958-2022"/>
    <d v="2022-06-15T00:00:00"/>
    <n v="1074216927"/>
    <s v="CENTELSA SA"/>
    <n v="202205804"/>
    <n v="77795"/>
    <m/>
    <m/>
    <m/>
    <m/>
    <m/>
    <s v="YUMBO"/>
    <s v="MUNICIPAL"/>
    <s v="UNIDAD DE MANTTO RED FISICA"/>
    <n v="7.2414951322827034E-5"/>
    <n v="1"/>
    <n v="0"/>
  </r>
  <r>
    <n v="280"/>
    <s v="0323"/>
    <s v="GUENAA"/>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s v="LUCY ARBELAEZ"/>
    <d v="2022-05-25T00:00:00"/>
    <d v="2022-05-25T00:00:00"/>
    <m/>
    <s v="SI"/>
    <s v="Entregado al area"/>
    <x v="1"/>
    <s v="9 de junio en aceptacion de la oferta_x000a_30 de junio en aprobacion_x000a_11 DE JULIO ENTREGADO AL AREA"/>
    <m/>
    <d v="2022-07-11T00:00:00"/>
    <s v="Jul"/>
    <m/>
    <n v="47"/>
    <n v="47"/>
    <s v="N/A"/>
    <s v="FUNCIONAMIENTO"/>
    <s v="300-CMA-1892-2022/ 300-AO-1956-2022"/>
    <d v="2022-06-09T00:00:00"/>
    <n v="99620000"/>
    <s v="CALES DE COLOMBIA SA"/>
    <n v="202205755"/>
    <n v="5270000"/>
    <m/>
    <m/>
    <m/>
    <m/>
    <m/>
    <s v="MEDELLIN"/>
    <s v="NACIONAL"/>
    <s v="UNIDAD DE PRODUCCIÓN DE AGUA POTABLE"/>
    <n v="5.0243111831442464E-2"/>
    <n v="1"/>
    <n v="0"/>
  </r>
  <r>
    <n v="281"/>
    <s v="0324"/>
    <s v="GUENE"/>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s v="FRANCIA RAMÍREZ"/>
    <d v="2022-05-25T00:00:00"/>
    <m/>
    <m/>
    <s v="SI"/>
    <s v="Entregado al area"/>
    <x v="1"/>
    <s v="9 de junio en aceptacion de la oferta._x000a_30 de junio en solicitud de polizas_x000a_27 DE JULIO ENTREGADO AL AREA"/>
    <m/>
    <d v="2022-07-27T00:00:00"/>
    <s v="Jul"/>
    <m/>
    <n v="63"/>
    <n v="63"/>
    <s v="N/A"/>
    <s v="INVERSION"/>
    <s v="500-CMA-1743-2021/500-AO-1958-2022"/>
    <d v="2022-06-15T00:00:00"/>
    <n v="2675952405"/>
    <s v="CENTELSA SA"/>
    <n v="202205804"/>
    <n v="91603820"/>
    <m/>
    <m/>
    <m/>
    <m/>
    <m/>
    <s v="YUMBO"/>
    <s v="MUNICIPAL"/>
    <s v="SUBGERENCIA TECNICA GUENE"/>
    <n v="3.3099172176709796E-2"/>
    <n v="1"/>
    <n v="0"/>
  </r>
  <r>
    <n v="282"/>
    <s v="0325"/>
    <s v="GUENAA"/>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s v="HAROLD MONDRAGON"/>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m/>
    <s v="nov"/>
    <n v="177"/>
    <n v="176"/>
    <m/>
    <s v="FUNCIONAMIENTO"/>
    <m/>
    <m/>
    <m/>
    <m/>
    <m/>
    <m/>
    <m/>
    <m/>
    <m/>
    <m/>
    <m/>
    <m/>
    <m/>
    <m/>
    <m/>
    <n v="1"/>
    <m/>
  </r>
  <r>
    <n v="283"/>
    <s v="0326"/>
    <s v="GAGHA"/>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s v="LEIDY FRANCO"/>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s v="Sep"/>
    <m/>
    <n v="99"/>
    <n v="94"/>
    <s v="L"/>
    <s v="FUNCIONAMIENTO"/>
    <s v="800-CS-2216-2022"/>
    <d v="2022-08-26T00:00:00"/>
    <n v="5148800000"/>
    <s v="ACCESORIOS Y SISTEMAS SA EN REORGANIZACION"/>
    <n v="202208281"/>
    <n v="1278869"/>
    <m/>
    <m/>
    <m/>
    <m/>
    <m/>
    <s v="CALI"/>
    <s v="LOCAL"/>
    <s v="UNIDAD GESTIÓN ADMINISTRATIVA"/>
    <n v="2.483202748016013E-4"/>
    <n v="0"/>
    <n v="2"/>
  </r>
  <r>
    <n v="284"/>
    <s v="0327"/>
    <s v="GUENE"/>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s v="JULIETA ORTIZ"/>
    <d v="2022-05-31T00:00:00"/>
    <e v="#VALUE!"/>
    <e v="#VALUE!"/>
    <s v="NO"/>
    <s v="Devuelto"/>
    <x v="2"/>
    <m/>
    <s v="8 Junio se devuelve al area para sacarlo como ip pero el area va hacer varias modificaciones."/>
    <d v="2022-06-08T00:00:00"/>
    <m/>
    <s v="jun"/>
    <n v="13"/>
    <n v="8"/>
    <m/>
    <s v="INVERSION"/>
    <m/>
    <m/>
    <m/>
    <m/>
    <m/>
    <m/>
    <m/>
    <m/>
    <m/>
    <m/>
    <m/>
    <m/>
    <m/>
    <m/>
    <m/>
    <n v="1"/>
    <m/>
  </r>
  <r>
    <n v="285"/>
    <s v="0328"/>
    <s v="GAGHA"/>
    <d v="2022-05-27T00:00:00"/>
    <x v="5"/>
    <s v="GHA0071"/>
    <s v="FR-800-GHA-0158-2022"/>
    <s v="300-CMA-1974-2020"/>
    <s v="Suministro de elementos de ferretería, para el suministro de materiales, herramientas y elementosa fines para EMCALI EICE ESP."/>
    <n v="8546201"/>
    <m/>
    <s v="N/A"/>
    <m/>
    <n v="202203880"/>
    <n v="102000566"/>
    <s v="N/A"/>
    <s v="N/A"/>
    <s v="N/A"/>
    <x v="1"/>
    <s v="LUCY ARBELAEZ"/>
    <d v="2022-05-31T00:00:00"/>
    <n v="-44708"/>
    <n v="-44712"/>
    <s v="SI"/>
    <s v="Entregado al area"/>
    <x v="1"/>
    <s v="9 de junio en revision del expediente_x000a_18 de julio en rp"/>
    <m/>
    <d v="2022-07-19T00:00:00"/>
    <s v="Jul"/>
    <m/>
    <n v="53"/>
    <n v="49"/>
    <s v="N/A"/>
    <s v="FUNCIONAMIENTO"/>
    <s v="300-CMA-1974-2020/300-AO-2020-2022_x000a_300-CMA-1974-2020/300-AO-2021-2022"/>
    <d v="2022-07-15T00:00:00"/>
    <n v="8546201"/>
    <s v="EQUIPOS Y HERRAMIENTAS INDUSTRIALES SAS "/>
    <m/>
    <n v="0"/>
    <m/>
    <m/>
    <m/>
    <m/>
    <m/>
    <m/>
    <m/>
    <s v="UNIDAD DE GESTIÓN ADMINISTRATIVA"/>
    <n v="0"/>
    <n v="0"/>
    <n v="0"/>
  </r>
  <r>
    <n v="286"/>
    <s v="0329"/>
    <s v="GUENTIC"/>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s v="JULIETA ORTIZ"/>
    <d v="2022-05-31T00:00:00"/>
    <e v="#VALUE!"/>
    <e v="#VALUE!"/>
    <s v="NO"/>
    <s v="Cerrado"/>
    <x v="0"/>
    <m/>
    <s v="15 de junio en solicitud de conceptos_x000a_28 de mayo publicado _x000a_CERRADO POR PROVEEDOR INDAMISIBLE PENDIENTE ACTA DE CIERRE Y SE VA POR IP"/>
    <d v="2022-07-19T00:00:00"/>
    <m/>
    <s v="jul"/>
    <n v="49"/>
    <n v="49"/>
    <s v="G"/>
    <s v="INVERSION"/>
    <m/>
    <m/>
    <m/>
    <m/>
    <m/>
    <m/>
    <m/>
    <m/>
    <m/>
    <m/>
    <m/>
    <m/>
    <m/>
    <m/>
    <m/>
    <n v="0"/>
    <m/>
  </r>
  <r>
    <n v="287"/>
    <s v="0330"/>
    <s v="GAGHA"/>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s v="FRANCIA RAMÍREZ"/>
    <d v="2022-05-31T00:00:00"/>
    <e v="#VALUE!"/>
    <e v="#VALUE!"/>
    <s v="SI"/>
    <s v="Entregado al area"/>
    <x v="1"/>
    <s v="el area debe hacer la justificacion para hacer el otro si"/>
    <m/>
    <d v="2022-09-20T00:00:00"/>
    <s v="Sep"/>
    <m/>
    <n v="112"/>
    <n v="112"/>
    <s v="N/A"/>
    <s v="FUNCIONAMIENTO"/>
    <s v="800-CMA-1914-2021/800-AO-2251-2022"/>
    <d v="2022-09-09T00:00:00"/>
    <n v="50000000"/>
    <s v="Unión Temporal M&amp;C2021"/>
    <n v="20228346"/>
    <n v="0"/>
    <m/>
    <m/>
    <m/>
    <m/>
    <m/>
    <s v="CALI"/>
    <s v="LOCAL"/>
    <s v="UNIDAD GESTIÓN ADMINISTRATIVA"/>
    <n v="0"/>
    <n v="0"/>
    <n v="0"/>
  </r>
  <r>
    <n v="288"/>
    <s v="0331"/>
    <s v="GUENAA"/>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s v="PAOLA BELTRAN"/>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s v="Sep"/>
    <m/>
    <n v="102"/>
    <n v="100"/>
    <s v="B"/>
    <s v="INVERSION"/>
    <s v="300-AO-2187-2022"/>
    <d v="2022-08-23T00:00:00"/>
    <n v="933414559"/>
    <s v="DIEGO MAURICIO ESTRADA CHAVEZ"/>
    <m/>
    <n v="2585441"/>
    <m/>
    <m/>
    <m/>
    <m/>
    <m/>
    <m/>
    <m/>
    <s v="PRODUCCIÓN DE AGUA POTABLE"/>
    <n v="2.7622232905982905E-3"/>
    <n v="1"/>
    <n v="1"/>
  </r>
  <r>
    <n v="289"/>
    <s v="0332"/>
    <s v="GUENE"/>
    <d v="2022-06-06T00:00:00"/>
    <x v="6"/>
    <s v="GE0333"/>
    <s v="FR-500-GE-0210-2022"/>
    <s v="N/A"/>
    <s v="Suministro de materiales y elementos de protección eléctrica para ser instalados en redes y subestaciones de energía"/>
    <n v="620390555"/>
    <m/>
    <s v="900-IP-0332-2022"/>
    <m/>
    <n v="202204349"/>
    <m/>
    <s v="N/A"/>
    <s v="N/A"/>
    <s v="Mayor cuantia"/>
    <x v="2"/>
    <s v="PAOLA BELTRAN"/>
    <d v="2022-06-06T00:00:00"/>
    <n v="100"/>
    <n v="100"/>
    <m/>
    <s v="Entregado al area"/>
    <x v="1"/>
    <s v="contrato de emergencia"/>
    <m/>
    <d v="2022-06-07T00:00:00"/>
    <s v="Aug"/>
    <m/>
    <n v="-44718"/>
    <n v="-44718"/>
    <s v="N/A"/>
    <s v="INVERSION"/>
    <s v="500-AO-1948-2022"/>
    <m/>
    <n v="620389554"/>
    <s v=" SUMINISTROS Y SERVICIOS TECNICOS S.A.S - S&amp;ST S.A.S"/>
    <m/>
    <n v="1001"/>
    <m/>
    <m/>
    <m/>
    <m/>
    <m/>
    <m/>
    <m/>
    <s v="UNIDAD DE MANTENIMIENTO"/>
    <n v="1.6134997413040887E-6"/>
    <n v="1"/>
    <n v="1"/>
  </r>
  <r>
    <n v="290"/>
    <s v="0333"/>
    <s v="GUENE"/>
    <d v="2022-06-06T00:00:00"/>
    <x v="6"/>
    <s v="GE0332"/>
    <s v="FR-500-GE-0209-2022"/>
    <s v="N/A"/>
    <s v="Suministro de Cables, para redes de Media y Baja Tensión del SDL de EMCALI."/>
    <n v="541251633"/>
    <m/>
    <s v="900-IP-0333-2022"/>
    <m/>
    <n v="202204348"/>
    <m/>
    <s v="N/A"/>
    <s v="N/A"/>
    <s v="Mayor cuantia"/>
    <x v="2"/>
    <s v="PAOLA BELTRAN"/>
    <d v="2022-06-06T00:00:00"/>
    <n v="-44718"/>
    <n v="-44718"/>
    <s v="SI"/>
    <s v="Entregado al area"/>
    <x v="1"/>
    <m/>
    <m/>
    <d v="2022-06-10T00:00:00"/>
    <s v="Jul"/>
    <m/>
    <n v="4"/>
    <n v="4"/>
    <s v="N/A"/>
    <s v="INVERSION"/>
    <s v="500-AO-1955-2020"/>
    <m/>
    <n v="541251633"/>
    <s v="CENTELSA S.A."/>
    <m/>
    <n v="0"/>
    <m/>
    <m/>
    <m/>
    <m/>
    <m/>
    <m/>
    <m/>
    <s v="UNIDAD DE MANTENIMIENTO"/>
    <n v="0"/>
    <n v="1"/>
    <n v="1"/>
  </r>
  <r>
    <n v="291"/>
    <s v="0334"/>
    <s v="GUENE"/>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s v="FRANCIA RAMÍREZ"/>
    <d v="2022-06-06T00:00:00"/>
    <n v="-44718"/>
    <n v="-44718"/>
    <s v="SI"/>
    <s v="Entregado al area"/>
    <x v="1"/>
    <s v="30 de junio en solicitud de polizas"/>
    <m/>
    <d v="2022-07-27T00:00:00"/>
    <s v="Jul"/>
    <m/>
    <n v="51"/>
    <n v="51"/>
    <s v="N/A"/>
    <s v="FUNCIONAMIENTO"/>
    <s v="500-CMA-1743-2021/500-AO-1970-2022"/>
    <d v="2022-06-24T00:00:00"/>
    <n v="847397095"/>
    <s v="CENTELSA SA"/>
    <m/>
    <n v="11191264"/>
    <m/>
    <m/>
    <m/>
    <m/>
    <m/>
    <s v="YUMBO"/>
    <s v="MUNICIPAL"/>
    <s v="UNIDAD DE CONTROL DE ENERGÍA"/>
    <n v="1.3034493052100651E-2"/>
    <n v="1"/>
    <n v="0"/>
  </r>
  <r>
    <n v="292"/>
    <s v="0335"/>
    <s v="GTI"/>
    <d v="2022-06-08T00:00:00"/>
    <x v="6"/>
    <s v="GTI0184"/>
    <s v="FR-200-GTI-0096-2022"/>
    <s v="N/A"/>
    <s v="Contratar el servicio de soporte actualización y mantenimiento del Software SAP"/>
    <n v="1240383280"/>
    <m/>
    <m/>
    <s v=""/>
    <s v="202203525_x000a_202202915"/>
    <m/>
    <s v="N/A"/>
    <s v="N/A"/>
    <s v="Mayor cuantia"/>
    <x v="3"/>
    <s v="PABLO CAICEDO"/>
    <d v="2022-06-09T00:00:00"/>
    <e v="#VALUE!"/>
    <e v="#VALUE!"/>
    <s v="NO"/>
    <s v="Devuelto"/>
    <x v="2"/>
    <m/>
    <m/>
    <d v="2022-06-21T00:00:00"/>
    <m/>
    <s v="jun"/>
    <n v="13"/>
    <n v="12"/>
    <m/>
    <s v="FUNCIONAMIENTO"/>
    <m/>
    <m/>
    <m/>
    <m/>
    <m/>
    <m/>
    <m/>
    <m/>
    <m/>
    <m/>
    <m/>
    <m/>
    <m/>
    <m/>
    <m/>
    <n v="0"/>
    <m/>
  </r>
  <r>
    <n v="293"/>
    <s v="0336"/>
    <s v="GUENE"/>
    <d v="2022-06-21T00:00:00"/>
    <x v="6"/>
    <s v="GE0361"/>
    <s v="FR-500-GE-0200-2022"/>
    <s v="N/A"/>
    <s v="Suministro de Equipo Cabrestante Portacarrete Portatil Motorizado"/>
    <n v="269000000"/>
    <m/>
    <s v="900-IP-0336-2022"/>
    <s v="IP-"/>
    <n v="202203909"/>
    <m/>
    <s v="N/A"/>
    <s v="N/A"/>
    <s v="Menor cuantia"/>
    <x v="2"/>
    <s v="JULIETA ORTIZ"/>
    <d v="2022-06-21T00:00:00"/>
    <e v="#VALUE!"/>
    <e v="#VALUE!"/>
    <s v="NO"/>
    <s v="Cerrado"/>
    <x v="0"/>
    <m/>
    <s v="30 de junio en evaluacion_x000a_14 de julio en revision por la jefe sandra_x000a_29 DE JULIO CERRADO Y SE ABRIO NUEVAMENTE CON LA IP 474"/>
    <d v="2022-07-29T00:00:00"/>
    <m/>
    <s v="jul"/>
    <n v="38"/>
    <n v="38"/>
    <s v="G"/>
    <s v="INVERSION"/>
    <m/>
    <m/>
    <m/>
    <m/>
    <m/>
    <m/>
    <m/>
    <m/>
    <m/>
    <m/>
    <m/>
    <m/>
    <m/>
    <m/>
    <m/>
    <n v="1"/>
    <m/>
  </r>
  <r>
    <n v="294"/>
    <s v="0337"/>
    <s v="GUENE"/>
    <d v="2022-06-09T00:00:00"/>
    <x v="6"/>
    <s v="GE0252"/>
    <s v="FR-500-GE-0207-2022"/>
    <s v="N/A"/>
    <s v="Suministro de ANTENAS YAGI"/>
    <n v="56044002"/>
    <s v="28 DE NOVIEMBRE"/>
    <s v="900-IP-337-2022"/>
    <m/>
    <n v="202204346"/>
    <n v="56044002"/>
    <s v="N/A"/>
    <s v="N/A"/>
    <s v="Menor cuantia"/>
    <x v="2"/>
    <s v="IVAN ALDANA"/>
    <d v="2022-06-09T00:00:00"/>
    <n v="-44721"/>
    <n v="-44721"/>
    <s v="SI"/>
    <s v="Entregado al area"/>
    <x v="1"/>
    <s v="30 de junio en revision de fpa e invitacion_x000a_18 de julio para firma de la aceptacion de la oferta"/>
    <m/>
    <d v="2022-07-30T00:00:00"/>
    <s v="Jul"/>
    <m/>
    <n v="51"/>
    <n v="51"/>
    <s v="N/A"/>
    <s v="INVERSION"/>
    <s v="500-AO-2036-2022"/>
    <d v="2022-07-19T00:00:00"/>
    <n v="56044002"/>
    <s v="POTENCIA Y TECNOLOGIA  INCORPORADA SA"/>
    <m/>
    <n v="0"/>
    <m/>
    <m/>
    <m/>
    <m/>
    <m/>
    <s v="CALI"/>
    <s v="LOCAL"/>
    <s v="UNIDAD DE CONTROL DE ENERGÍA"/>
    <n v="0"/>
    <n v="1"/>
    <n v="1"/>
  </r>
  <r>
    <n v="295"/>
    <s v="0338"/>
    <s v="GUENAA"/>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s v="ADALBERTO VALENCIA"/>
    <d v="2022-06-10T00:00:00"/>
    <n v="-44722"/>
    <n v="-44722"/>
    <s v="SI"/>
    <s v="Entregado al area"/>
    <x v="1"/>
    <s v="17 de junio en solciitud de conceptos_x000a_30 DE JUNIO EN REVISION DE LA INVITACION POR DIANA DE LA CRUZ_x000a_19 de julio en aprobacion de polizas"/>
    <m/>
    <d v="2022-07-26T00:00:00"/>
    <s v="Jul"/>
    <m/>
    <n v="46"/>
    <n v="46"/>
    <s v="G"/>
    <m/>
    <s v="300-AO-1992-2022"/>
    <d v="2022-07-08T00:00:00"/>
    <n v="109994080"/>
    <s v="SOLCO INDUSTRIAL SAS"/>
    <m/>
    <n v="0"/>
    <m/>
    <m/>
    <m/>
    <m/>
    <m/>
    <m/>
    <m/>
    <s v="UNIDAD DE BOMBEO"/>
    <n v="0"/>
    <n v="1"/>
    <n v="1"/>
  </r>
  <r>
    <n v="296"/>
    <s v="0339"/>
    <s v="GUENTIC"/>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s v="JULIETA ORTIZ"/>
    <d v="2022-06-30T00:00:00"/>
    <e v="#VALUE!"/>
    <e v="#VALUE!"/>
    <s v="NO"/>
    <s v="Devuelto"/>
    <x v="2"/>
    <m/>
    <s v="SE DEVOLVIO AL AREA PORQUE NO ALCANZABA EL PRESUPUESTO POR EL ALZA DEL DÓLAR"/>
    <d v="2022-07-18T00:00:00"/>
    <m/>
    <s v="jul"/>
    <n v="38"/>
    <n v="18"/>
    <m/>
    <s v="FUNCIONAMIENTO"/>
    <m/>
    <m/>
    <m/>
    <m/>
    <m/>
    <m/>
    <m/>
    <m/>
    <m/>
    <m/>
    <m/>
    <m/>
    <m/>
    <m/>
    <m/>
    <n v="0"/>
    <m/>
  </r>
  <r>
    <n v="297"/>
    <s v="0340"/>
    <s v="GUENT"/>
    <d v="2022-06-10T00:00:00"/>
    <x v="6"/>
    <s v="GT0172"/>
    <s v="FR-400-GT-0163-2022"/>
    <s v="N/A"/>
    <s v="Reparación de Motobombas"/>
    <n v="20650000"/>
    <s v="90 DIAS"/>
    <s v="900-IP-0340-2022"/>
    <m/>
    <n v="202203877"/>
    <n v="20650000"/>
    <s v="N/A"/>
    <s v="N/A"/>
    <s v="Menor cuantia"/>
    <x v="2"/>
    <s v="IVAN ALDANA"/>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s v="Aug"/>
    <m/>
    <n v="61"/>
    <n v="61"/>
    <s v="G"/>
    <s v="FUNCIONAMIENTO"/>
    <s v="400-AO-2022-2022"/>
    <d v="2022-07-15T00:00:00"/>
    <n v="20650000"/>
    <s v="METALMECANICA SOS SAS"/>
    <n v="202207214"/>
    <n v="0"/>
    <m/>
    <m/>
    <m/>
    <m/>
    <m/>
    <s v="CALI"/>
    <s v="LOCAL"/>
    <s v="SUBGERENCIA OPERATIVA"/>
    <n v="0"/>
    <n v="1"/>
    <n v="1"/>
  </r>
  <r>
    <n v="298"/>
    <s v="0341"/>
    <s v="GUENT"/>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s v="IVAN ALDANA"/>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s v="Aug"/>
    <m/>
    <n v="56"/>
    <n v="56"/>
    <s v="G"/>
    <s v="INVERSION"/>
    <s v="400-AO-2046-2022"/>
    <d v="2022-07-25T00:00:00"/>
    <n v="17308550"/>
    <s v="YESID SELIS MENESES"/>
    <n v="202207317"/>
    <n v="34198"/>
    <m/>
    <m/>
    <m/>
    <m/>
    <m/>
    <s v="CALI"/>
    <s v="LOCAL"/>
    <s v="SUBGERENCIA OPERATIVA"/>
    <n v="1.9718904985530552E-3"/>
    <n v="1"/>
    <n v="1"/>
  </r>
  <r>
    <n v="299"/>
    <s v="0342"/>
    <s v="GF"/>
    <d v="2022-06-10T00:00:00"/>
    <x v="6"/>
    <s v="GF0071"/>
    <s v="FR-700-GF-0062-2022"/>
    <s v="N/A"/>
    <s v="Adquisición de un (1) HORNO MICROONDAS de uso industrial (trabajo pesado) para la Gerencia Financiera."/>
    <n v="3570000"/>
    <m/>
    <s v="900-IPU-0342-2022"/>
    <s v="IPU"/>
    <n v="202204359"/>
    <m/>
    <s v="N/A"/>
    <s v="N/A"/>
    <s v="Menor cuantia"/>
    <x v="0"/>
    <s v="JHON LARRY "/>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m/>
    <s v="oct"/>
    <n v="118"/>
    <n v="115"/>
    <s v="G"/>
    <s v="INVERSION"/>
    <m/>
    <m/>
    <m/>
    <m/>
    <m/>
    <n v="3570000"/>
    <m/>
    <m/>
    <m/>
    <m/>
    <m/>
    <m/>
    <m/>
    <m/>
    <m/>
    <n v="0"/>
    <m/>
  </r>
  <r>
    <n v="300"/>
    <s v="0343"/>
    <s v="GUENAA"/>
    <d v="2022-06-10T00:00:00"/>
    <x v="6"/>
    <s v="GAA0213"/>
    <s v="FR-300-GAA-0157-2022"/>
    <s v="N/A"/>
    <s v="Reponer válvulas y Actuadores en diferentes sistemas de tratamiento de la PTAP Río Cali"/>
    <n v="1755493200"/>
    <s v="2 meses"/>
    <s v="900-IPU-0343-2022"/>
    <m/>
    <n v="202201760"/>
    <n v="1755493200"/>
    <s v="N/A"/>
    <s v="N/A"/>
    <s v="Mayor cuantia"/>
    <x v="0"/>
    <s v="HAROLD MONDRAGON"/>
    <d v="2022-06-13T00:00:00"/>
    <n v="96"/>
    <n v="93"/>
    <s v="SI"/>
    <s v="Entregado al area"/>
    <x v="1"/>
    <s v="30 DE JUNIO PUBLICADO_x000a_19 DE JULIO SE RECIBEN OFERTAS_x000a_1 DE AGOSTO EN EVALUACION SOBRE 1. 5 DE AGOSTO EN PUBLICACION DEL INFORME DE EVALUACION"/>
    <m/>
    <d v="2022-08-23T00:00:00"/>
    <s v="Aug"/>
    <m/>
    <n v="74"/>
    <n v="71"/>
    <s v="N/A"/>
    <s v="INVERSION"/>
    <s v="300-AO-2160-2022"/>
    <d v="2022-08-12T00:00:00"/>
    <n v="1732109718"/>
    <s v="UNION TEMPORAL VALAC 2022"/>
    <n v="202207854"/>
    <n v="23383482"/>
    <m/>
    <m/>
    <m/>
    <m/>
    <m/>
    <s v="CALI"/>
    <s v="LOCAL"/>
    <s v="UNIDAD DE PRODUCCIÓN"/>
    <n v="1.3320178055944621E-2"/>
    <n v="1"/>
    <n v="2"/>
  </r>
  <r>
    <n v="301"/>
    <s v="0344"/>
    <s v="GUENAA"/>
    <d v="2022-06-13T00:00:00"/>
    <x v="6"/>
    <s v="GAA0781 "/>
    <s v="FR-300-GAA-0076-2022"/>
    <s v="N/A"/>
    <s v="Suministro de equipos y Elementos para la medición de variables para el proceso de tratamiento de la PTAR-C"/>
    <n v="207605670"/>
    <m/>
    <s v="900-IP-0344-2022"/>
    <s v="IP-"/>
    <n v="202202669"/>
    <m/>
    <s v="N/A"/>
    <s v="N/A"/>
    <s v="Menor cuantia"/>
    <x v="2"/>
    <s v="JULIO GARCIA"/>
    <d v="2022-06-13T00:00:00"/>
    <e v="#VALUE!"/>
    <e v="#VALUE!"/>
    <s v="NO"/>
    <s v="Cerrado"/>
    <x v="0"/>
    <m/>
    <s v="17 de junio en solicitud de conceptos_x000a_30 de junio esperando concepto SST del área usuaria_x000a_29 de julio cerrado porque el oferente no cumple"/>
    <d v="2022-07-29T00:00:00"/>
    <m/>
    <s v="jul"/>
    <n v="46"/>
    <n v="46"/>
    <m/>
    <s v="FUNCIONAMIENTO"/>
    <m/>
    <m/>
    <m/>
    <m/>
    <m/>
    <m/>
    <m/>
    <m/>
    <m/>
    <m/>
    <m/>
    <m/>
    <m/>
    <m/>
    <m/>
    <n v="1"/>
    <m/>
  </r>
  <r>
    <n v="302"/>
    <s v="0345"/>
    <s v="GUENAA"/>
    <d v="2022-06-13T00:00:00"/>
    <x v="6"/>
    <s v="GAA0715"/>
    <s v="FR-300-GAA-0162-2022"/>
    <s v="N/A"/>
    <s v="Mantenimiento de las Casetas de Protección"/>
    <n v="5580200"/>
    <s v="90 DIAS"/>
    <s v="900-IP-0890-2022"/>
    <m/>
    <n v="202200777"/>
    <m/>
    <s v="N/A"/>
    <s v="N/A"/>
    <s v="Menor cuantia"/>
    <x v="2"/>
    <s v="ANA MARIA GIL"/>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s v="Aug"/>
    <m/>
    <n v="73"/>
    <n v="73"/>
    <s v="G"/>
    <s v="INVERSION"/>
    <s v="300-AO-2074-2022"/>
    <d v="2022-08-01T00:00:00"/>
    <n v="4046000"/>
    <s v="METALMECANICA SAS"/>
    <n v="202207700"/>
    <n v="1534200"/>
    <m/>
    <m/>
    <m/>
    <m/>
    <m/>
    <s v="CALI"/>
    <s v="LOCAL"/>
    <s v="UENAA U. DISTRIBUCIÓN"/>
    <n v="0.27493638220852301"/>
    <n v="1"/>
    <n v="1"/>
  </r>
  <r>
    <n v="303"/>
    <s v="0346"/>
    <s v="GUENAA"/>
    <d v="2022-06-14T00:00:00"/>
    <x v="6"/>
    <s v="GAA0669"/>
    <s v="FR-300-GAA-0136-2022"/>
    <s v="N/A"/>
    <s v="Suministro e Instalación equipos de Instrumentación y Automatización"/>
    <n v="97403342"/>
    <m/>
    <s v="900-IP-0346-2022"/>
    <s v="IP-"/>
    <n v="202203123"/>
    <m/>
    <s v="N/A"/>
    <s v="N/A"/>
    <s v="Menor cuantia"/>
    <x v="2"/>
    <s v="ANA MARIA GIL"/>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m/>
    <s v="ago"/>
    <n v="51"/>
    <n v="51"/>
    <m/>
    <s v="INVERSION"/>
    <m/>
    <m/>
    <m/>
    <m/>
    <m/>
    <m/>
    <m/>
    <m/>
    <m/>
    <m/>
    <m/>
    <m/>
    <m/>
    <m/>
    <m/>
    <n v="1"/>
    <m/>
  </r>
  <r>
    <n v="304"/>
    <s v="0347"/>
    <s v="GUENE"/>
    <d v="2022-06-14T00:00:00"/>
    <x v="6"/>
    <s v="GE0189"/>
    <s v="FR-500-GE-0193-2022"/>
    <s v="N/A"/>
    <s v="Calibración de equipos de Medición"/>
    <n v="21000000"/>
    <s v="60 DIAS"/>
    <s v="900-IP-0347-2022"/>
    <m/>
    <n v="202203515"/>
    <m/>
    <s v="N/A"/>
    <s v="N/A"/>
    <s v="Menor cuantia"/>
    <x v="2"/>
    <s v="ANA MARIA GIL"/>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s v="Aug"/>
    <m/>
    <n v="77"/>
    <n v="77"/>
    <s v="G"/>
    <s v="FUNCIONAMIENTO"/>
    <s v="500-AO-2093-2022"/>
    <d v="2022-08-09T00:00:00"/>
    <n v="20075000"/>
    <s v="LABORATORIO ELECTROMECANICO QTEST SAS"/>
    <m/>
    <n v="925000"/>
    <m/>
    <m/>
    <m/>
    <m/>
    <m/>
    <s v="ENVIGADO"/>
    <s v="NACIONAL"/>
    <s v="UNIDAD DE MANTENIMIENTO"/>
    <n v="4.4047619047619051E-2"/>
    <n v="1"/>
    <n v="1"/>
  </r>
  <r>
    <n v="305"/>
    <s v="034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m/>
    <s v="Entregado al area"/>
    <x v="1"/>
    <s v="18 d ejulio esperando concepto de seguros_x000a_2 DE AGOSTO EN ELABORACION DE FPA"/>
    <m/>
    <d v="2022-09-01T00:00:00"/>
    <s v="Sep"/>
    <m/>
    <n v="50"/>
    <n v="50"/>
    <s v="G"/>
    <s v="OPERACIÓN"/>
    <s v="300-AO-2221-2022"/>
    <d v="2022-08-30T00:00:00"/>
    <n v="26256243"/>
    <s v="PROFINAS SOCIEDAD POR ACCIONES SIMPLIFICADA"/>
    <n v="202208018"/>
    <n v="210"/>
    <m/>
    <m/>
    <m/>
    <m/>
    <m/>
    <s v="YUMBO"/>
    <s v="MUNICIPAL"/>
    <s v="UNIDAD DE PRODUCCIÓN DE AGUA POTABLE"/>
    <n v="7.9980338547632467E-6"/>
    <n v="1"/>
    <n v="1"/>
  </r>
  <r>
    <n v="306"/>
    <s v="0349"/>
    <s v="GUENAA"/>
    <d v="2022-06-21T00:00:00"/>
    <x v="6"/>
    <s v="GAA0639_x000a_GAA0663"/>
    <s v="FR-300-GAA-0102-2022"/>
    <s v="N/A"/>
    <s v="Suministro de equipos CHEMTRAC para plantas de tratamiento de Agua Potable"/>
    <n v="134184400"/>
    <s v="140 dias"/>
    <s v="900-IP-0349-2022"/>
    <m/>
    <n v="202202921"/>
    <n v="134184400"/>
    <s v="N/A"/>
    <s v="N/A"/>
    <s v="Menor cuantia"/>
    <x v="2"/>
    <s v="PAOLA BELTRAN"/>
    <d v="2022-06-21T00:00:00"/>
    <n v="-44733"/>
    <n v="-44733"/>
    <s v="SI"/>
    <s v="Entregado al area"/>
    <x v="1"/>
    <s v="14 de julio en aprobacuon de polizas_x000a_15 de julio entregado al area"/>
    <m/>
    <d v="2022-07-15T00:00:00"/>
    <s v="Jul"/>
    <m/>
    <n v="24"/>
    <n v="24"/>
    <s v="G"/>
    <s v="INVERSION"/>
    <s v="300-AO-1978-2022"/>
    <d v="2022-07-07T00:00:00"/>
    <n v="134184400"/>
    <s v="B&amp;C BIOSCIENCES SAS"/>
    <n v="202207014"/>
    <n v="0"/>
    <m/>
    <m/>
    <m/>
    <m/>
    <m/>
    <s v="BOGOTA"/>
    <s v="NACIONAL"/>
    <s v="UNIDAD DE MANTENIMIENTO"/>
    <n v="0"/>
    <n v="1"/>
    <n v="1"/>
  </r>
  <r>
    <n v="307"/>
    <s v="0350"/>
    <s v="GG"/>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s v="PAOLA BELTRAN"/>
    <d v="2022-06-21T00:00:00"/>
    <e v="#VALUE!"/>
    <e v="#VALUE!"/>
    <s v="SI"/>
    <s v="Entregado al area"/>
    <x v="1"/>
    <s v="14  de julio pendiente revision de la fpa por la jefe sandra_x000a_14 de julio en revision juridica_x000a_1 agosto continua en juridica 4 DE AGOSTO EN INVITACION A OFERTAR"/>
    <m/>
    <d v="2022-09-15T00:00:00"/>
    <s v="Sep"/>
    <m/>
    <n v="86"/>
    <n v="86"/>
    <s v="A"/>
    <s v="FUNCIONAMIENTO"/>
    <s v="100-AO-2222-2022"/>
    <d v="2022-08-31T00:00:00"/>
    <n v="139144320"/>
    <s v="DELOITTE ASESORES Y CONSULTORES LTDA"/>
    <n v="202208286"/>
    <n v="26155680"/>
    <m/>
    <m/>
    <m/>
    <m/>
    <m/>
    <s v="BOGOTA"/>
    <s v="NACIONAL"/>
    <s v="DIRECCIÓN DE CONTROL INTERNO"/>
    <n v="0.15823157894736842"/>
    <n v="0"/>
    <n v="1"/>
  </r>
  <r>
    <n v="308"/>
    <s v="0351"/>
    <s v="GUENAA"/>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s v="ANA MARIA GIL"/>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m/>
    <s v="jun"/>
    <n v="14"/>
    <n v="13"/>
    <m/>
    <s v="FUNCIONAMIENTO"/>
    <m/>
    <m/>
    <m/>
    <m/>
    <m/>
    <m/>
    <m/>
    <m/>
    <m/>
    <m/>
    <m/>
    <m/>
    <m/>
    <m/>
    <m/>
    <n v="1"/>
    <m/>
  </r>
  <r>
    <n v="309"/>
    <s v="0352"/>
    <s v="GUENT"/>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s v="IVAN ALDANA"/>
    <d v="2022-06-15T00:00:00"/>
    <n v="-44727"/>
    <n v="-44727"/>
    <s v="SI"/>
    <s v="Entregado al area"/>
    <x v="1"/>
    <s v="17 de junio en solicitud de conceptos_x000a_30 de junio en revision de la fpa e invitacion_x000a_18 de julio para firma de la aceptacion de la oferta"/>
    <m/>
    <d v="2022-07-29T00:00:00"/>
    <s v="Jul"/>
    <m/>
    <n v="44"/>
    <n v="44"/>
    <s v="G"/>
    <s v="FUNCIONAMIENTO"/>
    <s v="400-AO-2037-2022"/>
    <d v="2022-07-21T00:00:00"/>
    <n v="37984800"/>
    <s v="EPRING SAS"/>
    <n v="202207215"/>
    <n v="1999200"/>
    <m/>
    <m/>
    <m/>
    <m/>
    <m/>
    <s v="CALI"/>
    <s v="LOCAL"/>
    <s v="SUBGERENCIA OPERATIVA"/>
    <n v="0.05"/>
    <n v="1"/>
    <n v="1"/>
  </r>
  <r>
    <n v="310"/>
    <s v="0353"/>
    <s v="GUENAA"/>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s v="ANA MARIA GIL"/>
    <d v="2022-06-16T00:00:00"/>
    <e v="#VALUE!"/>
    <e v="#VALUE!"/>
    <s v="SI"/>
    <s v="Entregado al area"/>
    <x v="1"/>
    <s v="2 DE AGOSTO PENDIENTE DE LA FIRMA DE LAINVITACION A OFERTAR"/>
    <m/>
    <d v="2022-09-08T00:00:00"/>
    <s v="Sep"/>
    <m/>
    <n v="85"/>
    <n v="84"/>
    <s v="G"/>
    <s v="INVERSION"/>
    <s v="300-AO-2101-2022"/>
    <d v="2022-08-11T00:00:00"/>
    <n v="152049857"/>
    <s v="DATUM INGENIERIA SAS"/>
    <n v="202207800"/>
    <n v="143"/>
    <m/>
    <m/>
    <m/>
    <m/>
    <m/>
    <s v="BOGOTA"/>
    <s v="NACIONAL"/>
    <s v="UNIDAD DE INGENIERIA"/>
    <n v="9.4048010522854323E-7"/>
    <n v="1"/>
    <n v="1"/>
  </r>
  <r>
    <n v="311"/>
    <s v="0354"/>
    <s v="GUENAA"/>
    <d v="2022-06-17T00:00:00"/>
    <x v="6"/>
    <s v="GAA0243"/>
    <s v="FR-300-GAA-0163-2022"/>
    <s v="N/A"/>
    <s v="Suministro, instalación y puesta en marcha de cuatro (4) espectrofotómetro en las PATP´s de EMCALI"/>
    <n v="180000000"/>
    <s v="60 DIAS"/>
    <s v="900-IP-0354-2022"/>
    <m/>
    <n v="202202969"/>
    <n v="180000000"/>
    <s v="N/A"/>
    <s v="N/A"/>
    <s v="N/A"/>
    <x v="2"/>
    <s v="JHON LARRY "/>
    <d v="2022-06-17T00:00:00"/>
    <n v="89"/>
    <n v="89"/>
    <s v="SI"/>
    <s v="Entregado al area"/>
    <x v="1"/>
    <s v="2 DE AGOSTO EN APROBACION DE POLIZAS"/>
    <m/>
    <d v="2022-08-08T00:00:00"/>
    <s v="Aug"/>
    <m/>
    <n v="52"/>
    <n v="52"/>
    <s v="G"/>
    <s v="INVERSION"/>
    <s v="300-AO-2026-2022"/>
    <d v="2022-07-15T00:00:00"/>
    <n v="180000000"/>
    <s v="B&amp;C  BIOSCIENSES SAS"/>
    <n v="202207153"/>
    <n v="0"/>
    <m/>
    <m/>
    <m/>
    <m/>
    <m/>
    <s v="BOGOTA"/>
    <s v="NACIONAL"/>
    <s v="UNIDAD DE PRODUCCIÓN DE AGUA POTABLE"/>
    <n v="0"/>
    <n v="1"/>
    <n v="1"/>
  </r>
  <r>
    <n v="312"/>
    <s v="0355"/>
    <s v="GUENAA"/>
    <d v="2022-06-17T00:00:00"/>
    <x v="6"/>
    <s v="GAA0687"/>
    <s v="FR-300-GAA-0164-2022"/>
    <s v="N/A"/>
    <s v="Realizar el mantenimiento a los equipos Isotérmicos y de apoyo del Laboratorio Aguas Residuales"/>
    <n v="34998614"/>
    <s v="90 DIAS"/>
    <s v="900-IP-0355-2022"/>
    <m/>
    <n v="202202243"/>
    <m/>
    <s v="N/A"/>
    <s v="N/A"/>
    <s v="N/A"/>
    <x v="2"/>
    <s v="IVAN ALDANA"/>
    <d v="2022-06-21T00:00:00"/>
    <n v="-44729"/>
    <n v="-44733"/>
    <s v="SI"/>
    <s v="Entregado al area"/>
    <x v="1"/>
    <s v="18 de julio a la espera de la oferta_x000a_2 DE AGOSTO EN SOLICTUD DE POLIZAS Y RP. 5 DE AGOSTO A LA ESPERA DE LAS POLIZAS POR PARTE DEL PROVEEDOR.."/>
    <m/>
    <d v="2022-08-16T00:00:00"/>
    <s v="Aug"/>
    <m/>
    <n v="60"/>
    <n v="56"/>
    <s v="G"/>
    <s v="FUNCIONAMIENTO"/>
    <s v="300-AO-2047-2022"/>
    <d v="2022-07-25T00:00:00"/>
    <n v="34998614"/>
    <s v="HOB TECHNOLOGY SAS"/>
    <n v="202207267"/>
    <n v="0"/>
    <m/>
    <m/>
    <m/>
    <m/>
    <m/>
    <s v="CALIL"/>
    <s v="LOCAL"/>
    <s v="LABORATORIO DE AGUAS RESIDUALES"/>
    <n v="0"/>
    <n v="1"/>
    <n v="1"/>
  </r>
  <r>
    <n v="313"/>
    <s v="0356"/>
    <s v="GUENAA"/>
    <d v="2022-06-17T00:00:00"/>
    <x v="6"/>
    <s v="GAA0685"/>
    <s v="FR-300-GAA-0165-2022"/>
    <s v="N/A"/>
    <s v="Realizar el mantenimiento a los equipos marca ELGA del Laboratorio de Aguas Residuales"/>
    <n v="12389330"/>
    <s v="90 dias"/>
    <s v="900-IP-0356-2022"/>
    <m/>
    <n v="202202241"/>
    <n v="12389330"/>
    <s v="N/A"/>
    <s v="N/A"/>
    <s v="N/A"/>
    <x v="2"/>
    <s v="IVAN ALDANA"/>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s v="Aug"/>
    <m/>
    <n v="73"/>
    <n v="69"/>
    <s v="C"/>
    <s v="FUNCIONAMIENTO"/>
    <s v="300-AO-2119-2022"/>
    <d v="2022-08-11T00:00:00"/>
    <n v="12389330"/>
    <s v="QUIMICONTROL SAS"/>
    <n v="202207813"/>
    <n v="0"/>
    <m/>
    <m/>
    <m/>
    <m/>
    <m/>
    <s v="BOGOTA"/>
    <s v="NACIONAL"/>
    <s v="LABORATORIO DE AGUAS RESIDUALES"/>
    <n v="0"/>
    <n v="1"/>
    <n v="1"/>
  </r>
  <r>
    <n v="314"/>
    <s v="0357"/>
    <s v="GUENAA"/>
    <d v="2022-06-17T00:00:00"/>
    <x v="6"/>
    <s v="GAA0684"/>
    <s v="FR-300-GAA-0166-2022"/>
    <s v="N/A"/>
    <s v="Realizar el mantenimiento a los equipos marca Shimadzu del Laboratorio de Aguas Residuales"/>
    <n v="15777015"/>
    <s v="90 dias"/>
    <s v="900-IP-0357-2022"/>
    <m/>
    <n v="202202240"/>
    <m/>
    <s v="N/A"/>
    <s v="N/A"/>
    <s v="N/A"/>
    <x v="2"/>
    <s v="JHON LARRY "/>
    <d v="2022-06-17T00:00:00"/>
    <e v="#VALUE!"/>
    <e v="#VALUE!"/>
    <s v="SI"/>
    <s v="Entregado al area"/>
    <x v="1"/>
    <s v="2 de agosto en cotizaciones, se estuvo a la espera del cdp por parte del area. 5 DE AGOSTO EN REVISION DE FPA E INVITACION."/>
    <m/>
    <d v="2022-09-13T00:00:00"/>
    <s v="Sep"/>
    <m/>
    <n v="88"/>
    <n v="88"/>
    <s v="G"/>
    <s v="FUNCIONAMIENTO"/>
    <s v="300-AO-228-2022"/>
    <d v="2022-08-31T00:00:00"/>
    <n v="15777015"/>
    <s v="LAB INSTRUMENTS SAS"/>
    <n v="202208249"/>
    <n v="0"/>
    <m/>
    <m/>
    <m/>
    <m/>
    <m/>
    <s v="BOGOTA"/>
    <s v="NACIONAL"/>
    <s v="LABORATORIO DE AGUAS RESIDUALES"/>
    <n v="0"/>
    <n v="1"/>
    <n v="1"/>
  </r>
  <r>
    <n v="315"/>
    <s v="0358"/>
    <s v="GUENAA"/>
    <d v="2022-06-17T00:00:00"/>
    <x v="6"/>
    <s v="GAA0683"/>
    <s v="FR-300-GAA-0167-2022"/>
    <s v="N/A"/>
    <s v="Realizar el mantenimiento a los equipos marca Analitikjena del Laboratorio Aguas Residuales"/>
    <n v="5972207"/>
    <m/>
    <s v="900-IP-0358-2022"/>
    <m/>
    <n v="202202239"/>
    <m/>
    <m/>
    <m/>
    <s v="N/A"/>
    <x v="2"/>
    <s v="JULIO GARCIA"/>
    <m/>
    <n v="89"/>
    <n v="44818"/>
    <s v="SI"/>
    <s v="Entregado al area"/>
    <x v="1"/>
    <s v="2 de agosto en polizas"/>
    <m/>
    <d v="2022-08-16T00:00:00"/>
    <s v="Aug"/>
    <m/>
    <n v="60"/>
    <n v="44789"/>
    <s v="G"/>
    <s v="FUNCIONAMIENTO"/>
    <s v="300-AO-2050-2022"/>
    <d v="2022-07-26T00:00:00"/>
    <n v="5972207"/>
    <s v="ANALITICA Y REDES SAS"/>
    <n v="202207237"/>
    <n v="0"/>
    <m/>
    <m/>
    <m/>
    <m/>
    <m/>
    <s v="BOGOTA"/>
    <s v="NACIONAL"/>
    <s v="LABORATORIO DE AGUAS RESIDUALES"/>
    <n v="0"/>
    <n v="1"/>
    <n v="1"/>
  </r>
  <r>
    <n v="316"/>
    <s v="0359"/>
    <s v="GUENAA"/>
    <d v="2022-06-17T00:00:00"/>
    <x v="6"/>
    <s v="GAA0716"/>
    <s v="FR-300-GAA-0169-2022"/>
    <s v="N/A"/>
    <s v="Obras de Emergencia Bocatoma Río Cali"/>
    <n v="354975991"/>
    <s v="30 dias"/>
    <s v="900-IP-0359-2022"/>
    <m/>
    <n v="202204434"/>
    <n v="354975991"/>
    <s v="N/A"/>
    <s v="N/A"/>
    <s v="N/A"/>
    <x v="2"/>
    <s v="PAOLA BELTRAN"/>
    <d v="2022-06-21T00:00:00"/>
    <n v="-44729"/>
    <n v="-44733"/>
    <s v="SI"/>
    <s v="Entregado al area"/>
    <x v="1"/>
    <m/>
    <m/>
    <d v="2022-07-18T00:00:00"/>
    <s v="Jul"/>
    <m/>
    <m/>
    <m/>
    <s v="G"/>
    <s v="FUNCIONAMIENTO"/>
    <s v="300-AO-1968-2022"/>
    <d v="2022-06-24T00:00:00"/>
    <n v="354975991"/>
    <s v="PROQUING SAS"/>
    <m/>
    <n v="0"/>
    <m/>
    <m/>
    <m/>
    <m/>
    <m/>
    <s v="CALI"/>
    <s v="LOCAL"/>
    <s v="UNIDAD DE PRODUCCIÓN DE AGUA POTABLE"/>
    <n v="0"/>
    <n v="1"/>
    <n v="1"/>
  </r>
  <r>
    <n v="317"/>
    <s v="0360"/>
    <s v="GUENAA"/>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s v="PAOLA BELTRAN"/>
    <d v="2022-06-21T00:00:00"/>
    <n v="89"/>
    <n v="85"/>
    <s v="SI"/>
    <s v="Entregado al area"/>
    <x v="1"/>
    <m/>
    <m/>
    <d v="2022-07-05T00:00:00"/>
    <s v="Aug"/>
    <m/>
    <n v="-44729"/>
    <n v="-44733"/>
    <s v="G"/>
    <s v="FUNCIONAMIENTO"/>
    <s v="CONTRATO DE MERGENCIA"/>
    <m/>
    <n v="448908750"/>
    <s v="SP5 SA"/>
    <n v="202205849"/>
    <n v="979690"/>
    <m/>
    <m/>
    <m/>
    <m/>
    <m/>
    <s v="CALI"/>
    <s v="LOCAL"/>
    <s v="UNIDAD DE INGENIERÍA"/>
    <n v="2.1776287472512076E-3"/>
    <n v="1"/>
    <n v="1"/>
  </r>
  <r>
    <n v="318"/>
    <s v="0361"/>
    <s v="GUENAA"/>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s v="LUCY ARBELAEZ"/>
    <d v="2022-06-21T00:00:00"/>
    <n v="-44733"/>
    <n v="-44733"/>
    <s v="SI"/>
    <s v="Entregado al area"/>
    <x v="1"/>
    <m/>
    <m/>
    <d v="2022-07-17T00:00:00"/>
    <s v="Jul"/>
    <m/>
    <n v="26"/>
    <n v="26"/>
    <s v="N/A"/>
    <s v="FUNCIONAMIENTO"/>
    <s v="300-CMA-1243-2020/300-AO-1979-2022"/>
    <d v="2022-07-07T00:00:00"/>
    <n v="1694603796"/>
    <s v="QUIMPAC DE COLOMBIA SA"/>
    <n v="202207013"/>
    <n v="1376659"/>
    <m/>
    <m/>
    <m/>
    <m/>
    <m/>
    <s v="YUMBO"/>
    <s v="MUNICIPAL"/>
    <s v="UNIDAD DE TRATAMIENTO"/>
    <n v="8.1171867042536172E-4"/>
    <n v="1"/>
    <n v="0"/>
  </r>
  <r>
    <n v="319"/>
    <s v="0362"/>
    <s v="GUENT"/>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s v="NINFA SANTANA"/>
    <d v="2022-08-08T00:00:00"/>
    <e v="#VALUE!"/>
    <e v="#VALUE!"/>
    <s v="SI"/>
    <s v="Entregado al area"/>
    <x v="1"/>
    <m/>
    <m/>
    <d v="2022-09-06T00:00:00"/>
    <s v="Sep"/>
    <m/>
    <n v="77"/>
    <n v="29"/>
    <s v="G"/>
    <s v="FUNCIONAMIENTO"/>
    <s v="400-AO-2024-2022"/>
    <d v="2022-08-31T00:00:00"/>
    <n v="8992830"/>
    <s v="HIDROPURA SAS"/>
    <n v="202208244"/>
    <n v="0"/>
    <m/>
    <m/>
    <m/>
    <m/>
    <m/>
    <s v="CALI"/>
    <s v="LOCAL"/>
    <s v="SUBGERENCIA OPERATIVA"/>
    <n v="0"/>
    <n v="1"/>
    <n v="1"/>
  </r>
  <r>
    <n v="320"/>
    <s v="0363"/>
    <s v="GAGHA"/>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s v="PAOLA BELTRAN"/>
    <d v="2022-06-24T00:00:00"/>
    <n v="-44733"/>
    <n v="-44736"/>
    <s v="SI"/>
    <s v="Entregado al area"/>
    <x v="1"/>
    <s v="18 de julio en revision de fpa "/>
    <m/>
    <d v="2022-07-29T00:00:00"/>
    <s v="Jul"/>
    <m/>
    <n v="38"/>
    <n v="35"/>
    <s v="G"/>
    <s v="FUNCIONAMIENTO"/>
    <s v="800-AO-2053-2022"/>
    <d v="2022-07-26T00:00:00"/>
    <n v="399185752"/>
    <s v="HECTOR ANGULO SINISTERRA"/>
    <n v="202207181"/>
    <n v="41132526"/>
    <m/>
    <m/>
    <m/>
    <m/>
    <m/>
    <s v="CALI"/>
    <s v="LOCAL"/>
    <s v="UNIDAD GESTIÓN ADMINISTRATIVA"/>
    <n v="9.3415440728081695E-2"/>
    <n v="0"/>
    <n v="1"/>
  </r>
  <r>
    <n v="321"/>
    <s v="0364"/>
    <s v="GUENAA"/>
    <d v="2022-06-21T00:00:00"/>
    <x v="6"/>
    <s v="GAA0667"/>
    <s v="FR-300-GAA-0148-2022"/>
    <s v="N/A"/>
    <s v="Suministro valvulas bocatoma Río Cauca"/>
    <n v="137054145"/>
    <s v="90 DIAS"/>
    <s v="900-IP-0364-2022"/>
    <m/>
    <n v="202203121"/>
    <m/>
    <s v="N/A"/>
    <s v="N/A"/>
    <s v="N/A"/>
    <x v="2"/>
    <s v="LINA ECHAVARRIA"/>
    <d v="2022-06-21T00:00:00"/>
    <n v="-44733"/>
    <n v="-44733"/>
    <s v="SI"/>
    <s v="Entregado al area"/>
    <x v="1"/>
    <s v="30 de junio en invitacion a ofertar_x000a_14 de julio en evaluacion"/>
    <m/>
    <d v="2022-07-27T00:00:00"/>
    <s v="Jul"/>
    <m/>
    <n v="36"/>
    <n v="36"/>
    <s v="G"/>
    <s v="INVERSION"/>
    <s v="300-AO-1988-2022"/>
    <d v="2022-07-08T00:00:00"/>
    <n v="136934075"/>
    <s v="B&amp;V INGENIERIA SAS"/>
    <n v="202206982"/>
    <n v="120070"/>
    <m/>
    <m/>
    <m/>
    <m/>
    <m/>
    <s v="Envigado Antioquia"/>
    <s v="NACIONAL"/>
    <s v="UNIDAD DE MANTENIMIENTO"/>
    <n v="8.7607711536196147E-4"/>
    <n v="1"/>
    <n v="1"/>
  </r>
  <r>
    <n v="322"/>
    <s v="0365"/>
    <s v="GTI"/>
    <d v="2022-06-22T00:00:00"/>
    <x v="6"/>
    <s v="GTI0186"/>
    <s v="FR-200-GTI-0103-2022"/>
    <s v="N/A"/>
    <s v="Prestar los servicios de Cloud Funtional Services, Features y Parameters para la solución SAP Ariba Sourcing Suite de EMCALI EICE ESP"/>
    <n v="90170000"/>
    <m/>
    <s v="900-IP-0365-2022"/>
    <m/>
    <n v="202203526"/>
    <m/>
    <s v="N/A"/>
    <s v="N/A"/>
    <s v="N/A"/>
    <x v="2"/>
    <s v="PAOLA BELTRAN"/>
    <d v="2022-06-22T00:00:00"/>
    <n v="139"/>
    <n v="139"/>
    <s v="SI"/>
    <s v="Entregado al area"/>
    <x v="1"/>
    <s v="14 de julio en cotizaciones. 8 DE AGOSTO SE RECIBE LA OFERTA_x000a_28 DE SEPTIEMBRE EN EVALUACION DE LA OFERTA"/>
    <m/>
    <d v="2022-10-13T00:00:00"/>
    <s v="Oct"/>
    <n v="113"/>
    <m/>
    <n v="113"/>
    <s v="C"/>
    <s v="FUNCIONAMIENTO"/>
    <s v="200-AO-2335-2022"/>
    <d v="2022-09-23T00:00:00"/>
    <n v="65106462"/>
    <s v="SAP COLOMBIA SAS"/>
    <n v="202208624"/>
    <n v="25063538"/>
    <s v="BOGOTA"/>
    <s v="NACIONAL"/>
    <m/>
    <m/>
    <m/>
    <m/>
    <m/>
    <m/>
    <n v="0.27795872241321945"/>
    <n v="0"/>
    <n v="1"/>
  </r>
  <r>
    <n v="323"/>
    <s v="0366"/>
    <s v="GUENAA"/>
    <d v="2022-06-22T00:00:00"/>
    <x v="6"/>
    <s v="GAA0666"/>
    <s v="FR-300-GAA-0175-2022"/>
    <s v="N/A"/>
    <s v="Suministro repuestos reles de protección GE Multilin modelo 869"/>
    <n v="64920450"/>
    <s v="90 DIAS"/>
    <s v="900-IP-0366-2022"/>
    <m/>
    <n v="202203120"/>
    <m/>
    <s v="N/A"/>
    <s v="N/A"/>
    <s v="N/A"/>
    <x v="2"/>
    <s v="JULIO GARCIA"/>
    <d v="2022-06-22T00:00:00"/>
    <n v="84"/>
    <n v="84"/>
    <s v="SI"/>
    <s v="Entregado al area"/>
    <x v="1"/>
    <s v="2 de agosto en polizas"/>
    <m/>
    <d v="2022-08-11T00:00:00"/>
    <s v="Aug"/>
    <m/>
    <n v="50"/>
    <n v="50"/>
    <s v="G"/>
    <s v="INVERSION"/>
    <s v="300-AO-2066-2022"/>
    <d v="2022-07-28T00:00:00"/>
    <n v="64920450"/>
    <s v="SOPORTE A LA INGENIERA SAS"/>
    <n v="202207314"/>
    <n v="0"/>
    <m/>
    <m/>
    <m/>
    <m/>
    <m/>
    <s v="CALI"/>
    <s v="LOCAL"/>
    <s v="UNIDAD MANTENIMIENTO"/>
    <n v="0"/>
    <n v="1"/>
    <n v="1"/>
  </r>
  <r>
    <n v="324"/>
    <s v="0367"/>
    <s v="GUENAA"/>
    <d v="2022-06-22T00:00:00"/>
    <x v="6"/>
    <s v="GAA0709"/>
    <s v="FR-300-GAA-0168-2022"/>
    <s v="N/A"/>
    <s v="Suministro e Instalación Celda Sistema de Arranque Bombeo Bellavista 2 - Planta Río Cali"/>
    <n v="130495795"/>
    <s v="30 DIAS"/>
    <s v="900-IP-0367-2022"/>
    <m/>
    <n v="202203910"/>
    <m/>
    <s v="N/A"/>
    <s v="N/A"/>
    <s v="N/A"/>
    <x v="2"/>
    <s v="JULIETA ORTIZ"/>
    <d v="2022-06-24T00:00:00"/>
    <n v="84"/>
    <n v="82"/>
    <s v="SI"/>
    <s v="Entregado al area"/>
    <x v="1"/>
    <s v="2 DE AGOSTO EN APROBACION DE POLIZAS"/>
    <m/>
    <d v="2022-08-18T00:00:00"/>
    <s v="Aug"/>
    <m/>
    <n v="57"/>
    <n v="55"/>
    <s v="G"/>
    <s v="INVERSION"/>
    <s v="300-AO-2054-2022"/>
    <d v="2022-07-26T00:00:00"/>
    <n v="127802430"/>
    <s v="CONFECCIONES ELECTRICAS SAS EN REORGANIZACION"/>
    <n v="202207318"/>
    <n v="2693365"/>
    <m/>
    <m/>
    <m/>
    <m/>
    <m/>
    <s v="CANDELARIA"/>
    <s v="MUNICIPAL"/>
    <s v="UNIDAD DE MANTENIMIENTO"/>
    <n v="2.0639477310360844E-2"/>
    <n v="1"/>
    <n v="1"/>
  </r>
  <r>
    <n v="325"/>
    <s v="0368"/>
    <s v="GUENAA"/>
    <d v="2022-06-22T00:00:00"/>
    <x v="6"/>
    <s v="GAA0414"/>
    <s v="FR-300-GAA-0170-2022"/>
    <s v="N/A"/>
    <s v="Realizar actividades para la gestión del Parque de medidores y el mejoramiento de la medición de consumos"/>
    <n v="499413972"/>
    <s v="3 Meses"/>
    <s v="900-IP-0368-2022"/>
    <m/>
    <n v="202203888"/>
    <n v="1113359867"/>
    <s v="N/A"/>
    <s v="N/A"/>
    <s v="N/A"/>
    <x v="2"/>
    <s v="HAROLD MONDRAGON"/>
    <d v="2022-06-22T00:00:00"/>
    <n v="84"/>
    <n v="84"/>
    <s v="SI"/>
    <s v="Entregado al area"/>
    <x v="1"/>
    <s v="18 DE JULIO EN REVISION DE LA FPA POR PARTE DE LA JEFE SANDRA_x000a_1 DE AGOSTO ESPERANDO LA POLIZAS"/>
    <m/>
    <d v="2022-08-05T00:00:00"/>
    <s v="Aug"/>
    <m/>
    <n v="44"/>
    <n v="44"/>
    <s v="G"/>
    <s v="FUNCIONAMIENTO"/>
    <s v="300-AO-2044-2022"/>
    <d v="2022-07-22T00:00:00"/>
    <n v="493806334"/>
    <s v="DELTEC SA"/>
    <n v="202207235"/>
    <n v="5607638"/>
    <m/>
    <m/>
    <m/>
    <m/>
    <m/>
    <s v="CALI"/>
    <s v="LOCAL"/>
    <s v="UNIDAD CONTROL INTEGRAL DE PERDIDAS DE AGUA"/>
    <n v="1.1228436356201904E-2"/>
    <n v="1"/>
    <n v="1"/>
  </r>
  <r>
    <n v="326"/>
    <s v="0369"/>
    <s v="GUENAA"/>
    <d v="2022-06-22T00:00:00"/>
    <x v="6"/>
    <s v="GAA0680"/>
    <s v="FR-300-GAA-0172-2022"/>
    <s v="N/A"/>
    <s v="Mantenimiento de equipamiento marca Metrohm y Skatpure del Laboratorio de Agua Potable"/>
    <n v="71971578"/>
    <s v="90 DIAS"/>
    <s v="900-IP-0369-2022"/>
    <m/>
    <n v="202202235"/>
    <n v="72000000"/>
    <s v="N/A"/>
    <s v="N/A"/>
    <s v="N/A"/>
    <x v="2"/>
    <s v="CRISTHIAN BURBANO"/>
    <d v="2022-06-22T00:00:00"/>
    <n v="-44734"/>
    <n v="-44734"/>
    <s v="SI"/>
    <s v="Entregado al area"/>
    <x v="1"/>
    <s v="18 de julio en aceptacion de oferta"/>
    <m/>
    <d v="2022-07-26T00:00:00"/>
    <s v="Jul"/>
    <m/>
    <m/>
    <m/>
    <s v="G"/>
    <s v="FUNCIONAMIENTO"/>
    <s v="300-AO-2032-2022"/>
    <d v="2022-07-15T00:00:00"/>
    <n v="71971578"/>
    <s v="POLCO SAS"/>
    <n v="202207176"/>
    <n v="0"/>
    <m/>
    <m/>
    <m/>
    <m/>
    <m/>
    <s v="MEDELLIN"/>
    <s v="NACIONAL"/>
    <s v="LABORATORIO DE AGUA POTABLE"/>
    <n v="0"/>
    <n v="1"/>
    <n v="1"/>
  </r>
  <r>
    <n v="327"/>
    <s v="0370"/>
    <s v="GUENAA"/>
    <d v="2022-06-22T00:00:00"/>
    <x v="6"/>
    <s v="GAA0059_x000a_GAA0686"/>
    <s v="FR-300-GAA-0173-2022"/>
    <s v="N/A"/>
    <s v="Mnatenimiento de equipamiento de los Laboratorios de Ensayos de la UENAA"/>
    <n v="144234069"/>
    <s v="90 DIAS"/>
    <s v="900-IP-0370-2022"/>
    <m/>
    <s v="202202233_x000a_202202242"/>
    <n v="144346069"/>
    <s v="N/A"/>
    <s v="N/A"/>
    <s v="N/A"/>
    <x v="2"/>
    <s v="CRISTHIAN BURBANO"/>
    <d v="2022-06-22T00:00:00"/>
    <n v="84"/>
    <n v="84"/>
    <s v="G"/>
    <s v="Entregado al area"/>
    <x v="1"/>
    <s v="18 de julio en aceptacion de oferta"/>
    <m/>
    <d v="2022-08-01T00:00:00"/>
    <s v="Aug"/>
    <m/>
    <n v="40"/>
    <n v="40"/>
    <s v="G"/>
    <s v="FUNCIONAMIENTO"/>
    <s v="300-AO-2028-2022"/>
    <d v="2022-07-15T00:00:00"/>
    <n v="142708534"/>
    <s v="CONTROL E INSTRUMENTACION INDUSTRIAL DE COLOMBIA SAS"/>
    <n v="202207129"/>
    <n v="1525535"/>
    <m/>
    <m/>
    <m/>
    <m/>
    <m/>
    <s v="CALI"/>
    <s v="LOCAL"/>
    <s v="LABORATORIO DE AGUA POTABLE"/>
    <n v="1.0576800686389843E-2"/>
    <n v="1"/>
    <n v="1"/>
  </r>
  <r>
    <n v="328"/>
    <s v="0371"/>
    <s v="GTI"/>
    <d v="2022-06-24T00:00:00"/>
    <x v="6"/>
    <s v="GTI0027"/>
    <s v="FR-200-GTI-0101-2022"/>
    <s v="N/A"/>
    <s v="Renovación de las suscripciones en la nube de Microsoft Dynamics CRM"/>
    <n v="455000000"/>
    <s v="60 DIAS"/>
    <s v="900-IP-0371-2022"/>
    <m/>
    <n v="202203098"/>
    <m/>
    <s v="N/A"/>
    <s v="N/A"/>
    <s v="N/A"/>
    <x v="2"/>
    <s v="PAOLA BELTRAN"/>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s v="Aug"/>
    <m/>
    <n v="45"/>
    <n v="45"/>
    <s v="G"/>
    <s v="FUNCIONAMIENTO"/>
    <s v="200-AO-1976-222"/>
    <d v="2022-06-30T00:00:00"/>
    <n v="452335404"/>
    <s v="CONTROLES EMPRESARIALES SAS"/>
    <n v="202206957"/>
    <n v="2664596"/>
    <m/>
    <m/>
    <m/>
    <m/>
    <m/>
    <s v="CALI"/>
    <s v="LOCAL"/>
    <s v="GTI"/>
    <n v="5.8562549450549449E-3"/>
    <n v="0"/>
    <n v="1"/>
  </r>
  <r>
    <n v="329"/>
    <s v="0372"/>
    <s v="GUENE"/>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s v="JULIETA ORTIZ"/>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m/>
    <s v="nov"/>
    <n v="158"/>
    <n v="152"/>
    <m/>
    <s v="INVERSION"/>
    <m/>
    <m/>
    <m/>
    <m/>
    <m/>
    <m/>
    <m/>
    <m/>
    <m/>
    <m/>
    <m/>
    <m/>
    <m/>
    <m/>
    <m/>
    <n v="1"/>
    <m/>
  </r>
  <r>
    <n v="330"/>
    <s v="0373"/>
    <s v="GUENAA"/>
    <d v="2022-06-24T00:00:00"/>
    <x v="6"/>
    <s v="GAA0651"/>
    <s v="FR-300-GAA-0087-2022"/>
    <s v="N/A"/>
    <s v="Suministro de equipos de Automatismo y Telemetría"/>
    <n v="244211285"/>
    <m/>
    <s v="900-IP-0373-2022"/>
    <s v="IP-"/>
    <n v="202201156"/>
    <m/>
    <s v="N/A"/>
    <s v="N/A"/>
    <s v="N/A"/>
    <x v="2"/>
    <s v="LINA ECHAVARRIA"/>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m/>
    <s v="ago"/>
    <n v="41"/>
    <n v="16"/>
    <m/>
    <s v="INVERSION"/>
    <m/>
    <m/>
    <m/>
    <m/>
    <m/>
    <m/>
    <m/>
    <m/>
    <m/>
    <m/>
    <m/>
    <m/>
    <m/>
    <m/>
    <m/>
    <n v="1"/>
    <m/>
  </r>
  <r>
    <n v="331"/>
    <s v="0374"/>
    <s v="GUENAA"/>
    <d v="2022-06-24T00:00:00"/>
    <x v="6"/>
    <s v="GAA0378"/>
    <s v="FR-300-GAA-0151-2022"/>
    <s v="N/A"/>
    <s v="Mantenimiento equipos menores estaciones de bombeo de aguas lluvias y/o residuales"/>
    <n v="170109720"/>
    <m/>
    <s v="900-IP-0314-2022"/>
    <m/>
    <n v="202201832"/>
    <m/>
    <s v="N/A"/>
    <s v="N/A"/>
    <s v="N/A"/>
    <x v="2"/>
    <s v="LINA ECHAVARRIA"/>
    <d v="2022-07-19T00:00:00"/>
    <e v="#VALUE!"/>
    <e v="#VALUE!"/>
    <s v="SI"/>
    <s v="Entregado al area"/>
    <x v="1"/>
    <s v="14 de julio en cotizaciones_x000a_19 de julio reasignado a lina echavarria_x000a_1 DE AGOSTO EN ELABORACION EN FPA E INVITACION"/>
    <m/>
    <d v="2022-09-29T00:00:00"/>
    <s v="Sep"/>
    <m/>
    <n v="97"/>
    <n v="72"/>
    <s v="G"/>
    <s v="FUNCIONAMIENTO"/>
    <s v="300-AO-2339-2022"/>
    <m/>
    <n v="168831739"/>
    <s v="Bego Ingeniería Cosultores SAS"/>
    <m/>
    <n v="1277981"/>
    <m/>
    <m/>
    <m/>
    <m/>
    <m/>
    <m/>
    <m/>
    <s v="UNIDAD DE BOMBEO"/>
    <n v="7.5126865178544765E-3"/>
    <n v="1"/>
    <n v="1"/>
  </r>
  <r>
    <n v="332"/>
    <s v="0375"/>
    <s v="GTI"/>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s v="PAOLA BELTRAN"/>
    <d v="2022-06-28T00:00:00"/>
    <n v="82"/>
    <n v="78"/>
    <s v="SI"/>
    <s v="Entregado al area"/>
    <x v="1"/>
    <s v="18 de julio en invitacion a ofertar_x000a_1 de agosto en revision de la aceptacion de oferta. 5 DE AGOSTO EN SOLICITUD DE POLIZAS AL PROVEEDOR."/>
    <m/>
    <d v="2022-08-17T00:00:00"/>
    <s v="Aug"/>
    <m/>
    <n v="54"/>
    <n v="50"/>
    <s v="G"/>
    <s v="FUNCIONAMIENTO"/>
    <s v="200-AO-2077-2022"/>
    <d v="2022-08-02T00:00:00"/>
    <n v="298000000"/>
    <s v="OPTIMAL THECNOLOGY SAS"/>
    <n v="202207629"/>
    <n v="2000000"/>
    <m/>
    <m/>
    <m/>
    <m/>
    <m/>
    <s v="CALI"/>
    <s v="LOCAL"/>
    <s v="GTI"/>
    <n v="6.6666666666666671E-3"/>
    <n v="0"/>
    <n v="1"/>
  </r>
  <r>
    <n v="333"/>
    <s v="0376"/>
    <s v="GUENE"/>
    <d v="2022-06-28T00:00:00"/>
    <x v="6"/>
    <s v="GE0313"/>
    <s v="FR-500-GE-0115-2022"/>
    <s v="N/A"/>
    <s v="Calibración de Instrumentos y Equipos de Laboratorio"/>
    <n v="40721800"/>
    <s v="28 DE NOVIEMBRE 2022"/>
    <s v="900-IP-0376-2022"/>
    <m/>
    <n v="202201683"/>
    <n v="40721800"/>
    <s v="N/A"/>
    <s v="N/A"/>
    <s v="N/A"/>
    <x v="2"/>
    <s v="JUAN DAVID GOMEZ"/>
    <d v="2022-06-28T00:00:00"/>
    <n v="78"/>
    <n v="78"/>
    <s v="SI"/>
    <s v="Entregado al area"/>
    <x v="1"/>
    <s v="1 de agosto esperando firma de fpa e invitacion. 5 DE AGOSTO PARA ENVIAR INVITACION A OFERTAR."/>
    <m/>
    <d v="2022-08-30T00:00:00"/>
    <s v="Aug"/>
    <m/>
    <n v="63"/>
    <n v="63"/>
    <s v="G"/>
    <s v="FUNCIONAMIENTO"/>
    <s v="500-AO-2208-2022"/>
    <d v="2022-08-24T00:00:00"/>
    <n v="40721800"/>
    <s v="QTEST SAS"/>
    <n v="202207958"/>
    <n v="0"/>
    <m/>
    <m/>
    <m/>
    <m/>
    <m/>
    <s v="ENVIGADO"/>
    <s v="NACIONAL"/>
    <s v="UNIDAD DE SERVICIOS COMPLEMENTARIOS"/>
    <n v="0"/>
    <n v="1"/>
    <n v="1"/>
  </r>
  <r>
    <n v="334"/>
    <s v="0377"/>
    <s v="GUENAA"/>
    <d v="2022-06-28T00:00:00"/>
    <x v="6"/>
    <s v="GAA0266_x000a_GAA0268"/>
    <s v="FR-300-GAA-0139-2022"/>
    <s v="N/A"/>
    <s v="Suministro e instalación de unidades de bombeo centrifugas PTAP y Bocatoma &quot;La Reforma&quot;"/>
    <n v="62299950"/>
    <m/>
    <s v="900-IP-0377-2022"/>
    <m/>
    <s v="202202917_x000a_202202918"/>
    <m/>
    <s v="N/A"/>
    <s v="N/A"/>
    <s v="N/A"/>
    <x v="2"/>
    <s v="ANA MARIA GIL"/>
    <d v="2022-06-28T00:00:00"/>
    <n v="78"/>
    <n v="78"/>
    <s v="SI"/>
    <s v="Entregado al area"/>
    <x v="1"/>
    <s v="2 DE AGOSTO PENDIENTE DE LA POLIZA POR PARTE DEL PROVEEDOR 5 DE AGOSTO EN ESPERA DE LA APROBACION DE POLIZAS"/>
    <m/>
    <d v="2022-08-09T00:00:00"/>
    <s v="Aug"/>
    <m/>
    <n v="42"/>
    <n v="42"/>
    <s v="G"/>
    <s v="INVERSION"/>
    <s v="300-AO-2043-2022"/>
    <d v="2022-07-25T00:00:00"/>
    <n v="62044993"/>
    <s v="B&amp;V INGENIERIA"/>
    <m/>
    <n v="254957"/>
    <m/>
    <m/>
    <m/>
    <m/>
    <m/>
    <m/>
    <m/>
    <s v="UNIDAD DE MANTENIMIENTO"/>
    <n v="4.0924109890938913E-3"/>
    <n v="1"/>
    <n v="1"/>
  </r>
  <r>
    <n v="335"/>
    <s v="0378"/>
    <s v="GUENT"/>
    <d v="2022-06-28T00:00:00"/>
    <x v="6"/>
    <s v="GT0177"/>
    <s v="FR-400-GT-0189-2022"/>
    <s v="N/A"/>
    <s v="Mantenimiento Correctivo de Transferencias Automáticas"/>
    <n v="58191000"/>
    <s v="90 DIAS"/>
    <s v="900-IP-0378-2022"/>
    <m/>
    <n v="202202939"/>
    <m/>
    <s v="N/A"/>
    <s v="N/A"/>
    <s v="N/A"/>
    <x v="2"/>
    <s v="JULIETA ORTIZ"/>
    <d v="2022-06-30T00:00:00"/>
    <n v="-44740"/>
    <n v="-44742"/>
    <s v="G"/>
    <s v="Aprobacion de polizas"/>
    <x v="1"/>
    <s v="2 DE AGOSTO EN SOLICITUD DEL RP 5 de agosto en aprobacion de polizas"/>
    <m/>
    <d v="2022-08-17T00:00:00"/>
    <s v="Aug"/>
    <m/>
    <n v="50"/>
    <n v="48"/>
    <s v="G"/>
    <s v="FUNCIONAMIENTO"/>
    <s v="400-AO-2073-2022"/>
    <d v="2022-08-01T00:00:00"/>
    <n v="56141820"/>
    <s v="LACC INGENIERIA SAS"/>
    <n v="202207624"/>
    <n v="2049180"/>
    <m/>
    <m/>
    <m/>
    <m/>
    <m/>
    <s v="CALI"/>
    <s v="LOCAL"/>
    <s v="SUBGERENCIA OPERATIVA"/>
    <n v="3.5214723926380365E-2"/>
    <n v="1"/>
    <n v="1"/>
  </r>
  <r>
    <n v="336"/>
    <s v="0379"/>
    <s v="GUENT"/>
    <d v="2022-06-28T00:00:00"/>
    <x v="6"/>
    <s v="GT0171"/>
    <s v="FR-400-GT-0180-2022"/>
    <s v="N/A"/>
    <s v="Mantenimiento Correctivo de plantas de emergencia de las Centrales Telefónicas de EMCALI EICE ESP."/>
    <n v="74052510"/>
    <m/>
    <s v="900-IP-0379-2022"/>
    <s v="IP-"/>
    <n v="202202934"/>
    <m/>
    <s v="N/A"/>
    <s v="N/A"/>
    <s v="N/A"/>
    <x v="2"/>
    <s v="JHON LARRY "/>
    <d v="2022-06-28T00:00:00"/>
    <e v="#VALUE!"/>
    <e v="#VALUE!"/>
    <s v="SI"/>
    <s v="Solicitud de Polizas y Rp"/>
    <x v="1"/>
    <m/>
    <s v="2 de agosto en elaboracion de la fpa e invitacion. tODAS LAS COTIZACIONES HAN ESTADO POR ENCIMA DEL VALOR DEL PRESUPUESTO, NO SE HA LOGRADO LLEGAR A ACUERDOS._x000a_28 DE SEPTIEMBRE PENDIENE EL REGISTRO PRESUPUESTAL"/>
    <d v="2022-11-08T00:00:00"/>
    <s v="Nov"/>
    <m/>
    <n v="133"/>
    <n v="133"/>
    <s v="G"/>
    <s v="FUNCIONAMIENTO"/>
    <s v="400-AO-2336-2022"/>
    <d v="2022-09-15T00:00:00"/>
    <n v="70871337"/>
    <s v="ELECTRO REDES GLOBAL SAS"/>
    <s v="AB-2300002869"/>
    <n v="3181173"/>
    <m/>
    <m/>
    <m/>
    <m/>
    <m/>
    <m/>
    <m/>
    <m/>
    <n v="4.295834131753265E-2"/>
    <n v="1"/>
    <n v="1"/>
  </r>
  <r>
    <n v="337"/>
    <s v="0380"/>
    <s v="GUENT"/>
    <d v="2022-06-28T00:00:00"/>
    <x v="6"/>
    <s v="GT0203"/>
    <s v="FR-400-GT-0170-2022"/>
    <s v="N/A"/>
    <s v="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
    <n v="44165109"/>
    <s v="120 DIAS"/>
    <s v="900-IP-0380-2022"/>
    <m/>
    <s v="202204407_x000a_202204408"/>
    <n v="44165109"/>
    <s v="N/A"/>
    <s v="N/A"/>
    <s v="N/A"/>
    <x v="2"/>
    <s v="JULIO GARCIA"/>
    <d v="2022-06-30T00:00:00"/>
    <e v="#VALUE!"/>
    <e v="#VALUE!"/>
    <s v="SI"/>
    <s v="Entregado al area"/>
    <x v="1"/>
    <s v="2 de agosto en evaluacion"/>
    <m/>
    <d v="2022-08-05T00:00:00"/>
    <s v="Sep"/>
    <m/>
    <n v="38"/>
    <n v="36"/>
    <s v="G"/>
    <s v="FUNCIONAMIENTO"/>
    <s v="400-AO-2178-2022"/>
    <d v="2022-08-19T00:00:00"/>
    <n v="34676048"/>
    <s v="RENTAMETRIC COLOMBIA SAS"/>
    <n v="202208282"/>
    <n v="9489061"/>
    <m/>
    <m/>
    <m/>
    <m/>
    <m/>
    <m/>
    <m/>
    <s v="SUBGERENCIA OPERATIVA"/>
    <n v="0.21485424161412123"/>
    <n v="1"/>
    <n v="1"/>
  </r>
  <r>
    <n v="338"/>
    <s v="0381"/>
    <s v="GTI"/>
    <d v="2022-06-28T00:00:00"/>
    <x v="6"/>
    <s v="GTI0021"/>
    <s v="FR-200-GTI-0107-2022"/>
    <s v="N/A"/>
    <s v="Contratar el servicio de soporte reactivación y mantenimiento del Software SAP"/>
    <n v="1440383280"/>
    <s v="31 DE DICIEMBRE 2022"/>
    <s v="900-IPU-0381-2022"/>
    <m/>
    <s v="202202915_x000a_202203525"/>
    <m/>
    <s v="N/A"/>
    <s v="N/A"/>
    <s v="Mayor cuantia"/>
    <x v="0"/>
    <s v="PAOLA BELTRAN"/>
    <d v="2022-06-30T00:00:00"/>
    <n v="78"/>
    <n v="76"/>
    <s v="SI"/>
    <s v="Entregado al area"/>
    <x v="1"/>
    <s v="1 DE AGOSTO EN RECEPCION DE COTIZACIONES. 5 DE AGOSTO PENDIENTE REUNION CON LOS DE SAP PARA CLARAR LAS POLIZAS. ESPERANDO RECEPCION DE OFERTAS."/>
    <m/>
    <d v="2022-08-30T00:00:00"/>
    <s v="Aug"/>
    <m/>
    <n v="63"/>
    <n v="61"/>
    <s v="B"/>
    <s v="FUNCIONAMIENTO"/>
    <s v="200-AO-2215-2022"/>
    <d v="2022-08-30T00:00:00"/>
    <n v="1440382665"/>
    <s v="SAP COLOMBIA SAS"/>
    <n v="202207980"/>
    <n v="615"/>
    <m/>
    <m/>
    <m/>
    <m/>
    <m/>
    <s v="BOGOTA"/>
    <s v="NACIONAL"/>
    <s v="GTI"/>
    <n v="4.2696968823464819E-7"/>
    <n v="0"/>
    <n v="2"/>
  </r>
  <r>
    <n v="339"/>
    <s v="0382"/>
    <s v="GUENE"/>
    <d v="2022-06-30T00:00:00"/>
    <x v="6"/>
    <s v="GE0256"/>
    <s v="FR-500-GE-0128-2022"/>
    <s v="N/A"/>
    <s v="Realizar mediciones ambientales de ruido y de campos electromagnéticos en subestaciones de energía y lineas de Subtransmisión a 115 Kv"/>
    <n v="26610066"/>
    <s v="90 DIAS"/>
    <s v="900-IP-0382-2022"/>
    <m/>
    <n v="202202106"/>
    <n v="26610066"/>
    <s v="N/A"/>
    <s v="N/A"/>
    <s v="N/A"/>
    <x v="2"/>
    <s v="DIEGO PATIÑO"/>
    <d v="2022-06-30T00:00:00"/>
    <n v="131"/>
    <n v="131"/>
    <s v="SI"/>
    <s v="Entregado al area"/>
    <x v="1"/>
    <s v="28 DE SEPTIMEBRE EN SOLICITUD DE POLIZAS"/>
    <m/>
    <d v="2022-10-04T00:00:00"/>
    <s v="Oct"/>
    <n v="96"/>
    <m/>
    <n v="96"/>
    <s v="G"/>
    <s v="OPERACIÓN"/>
    <s v="500-AO-2363-2022"/>
    <d v="2022-09-15T00:00:00"/>
    <n v="25480280"/>
    <s v="HIGIENE OCUPACIONAL Y AMBIENTAL LTDA"/>
    <n v="202208524"/>
    <n v="1129786"/>
    <s v="CALI"/>
    <s v="LOCAL"/>
    <m/>
    <m/>
    <m/>
    <m/>
    <m/>
    <m/>
    <n v="4.2457091237579042E-2"/>
    <n v="1"/>
    <n v="1"/>
  </r>
  <r>
    <n v="340"/>
    <s v="0383"/>
    <s v="GUENE"/>
    <d v="2022-06-30T00:00:00"/>
    <x v="6"/>
    <s v="GE0202"/>
    <s v="FR-500-GE-0203-2022"/>
    <s v="N/A"/>
    <s v="Suministro de Fuente para Remota de Subestación CDS"/>
    <n v="21763648"/>
    <m/>
    <s v="900-IP-0383-2022"/>
    <s v="IP-"/>
    <n v="202203959"/>
    <m/>
    <s v="N/A"/>
    <s v="N/A"/>
    <s v="N/A"/>
    <x v="2"/>
    <s v="ANA MARIA GIL"/>
    <d v="2022-08-04T00:00:00"/>
    <e v="#VALUE!"/>
    <e v="#VALUE!"/>
    <s v="NO"/>
    <s v="Devuelto"/>
    <x v="2"/>
    <m/>
    <s v="18 de julio en cotizaciones_x000a_2 agosto en solicitud de cotizaciones 4 DE AGOSTO REASIGNADO A ANA MARIA GIL_x000a_28 DE SEPTIEMBRE DEVUELTO AL AREA"/>
    <d v="2022-09-08T00:00:00"/>
    <m/>
    <s v="sep"/>
    <n v="70"/>
    <n v="35"/>
    <s v="G"/>
    <s v="INVERSION"/>
    <m/>
    <m/>
    <m/>
    <m/>
    <m/>
    <m/>
    <m/>
    <m/>
    <m/>
    <m/>
    <m/>
    <m/>
    <m/>
    <m/>
    <m/>
    <n v="1"/>
    <m/>
  </r>
  <r>
    <n v="341"/>
    <s v="0384"/>
    <s v="GUENE"/>
    <d v="2022-06-30T00:00:00"/>
    <x v="6"/>
    <s v="GE0205"/>
    <s v="FR-500-GE-0212-2022"/>
    <s v="N/A"/>
    <s v="Suministro de GPS de Subestación"/>
    <n v="66269198"/>
    <m/>
    <s v="900-IP-0384-2022"/>
    <s v="IP-"/>
    <n v="202203958"/>
    <m/>
    <s v="N/A"/>
    <s v="N/A"/>
    <s v="N/A"/>
    <x v="2"/>
    <s v="ANA MARIA GIL"/>
    <d v="2022-08-04T00:00:00"/>
    <e v="#VALUE!"/>
    <e v="#VALUE!"/>
    <m/>
    <s v="Cerrado"/>
    <x v="0"/>
    <d v="2022-12-07T00:00:00"/>
    <s v="18 de julio en cotizaciones_x000a_2 agosto en solicitud de cotizaciones 4 DE AGOSTO EN ELABROACION DE FPA E INVITACION_x000a_28 DE SEPTIEMBRE EN EXPEDICION DE POLIZAS_x000a_31 de octubre en solicitu de polizas_x000a_09-11-2022, en firma de contratista"/>
    <d v="2022-11-09T00:00:00"/>
    <m/>
    <s v="nov"/>
    <n v="132"/>
    <n v="97"/>
    <s v="G"/>
    <s v="INVERSION"/>
    <m/>
    <m/>
    <m/>
    <m/>
    <m/>
    <m/>
    <m/>
    <m/>
    <m/>
    <m/>
    <m/>
    <m/>
    <m/>
    <m/>
    <m/>
    <n v="1"/>
    <m/>
  </r>
  <r>
    <n v="342"/>
    <s v="0385"/>
    <s v="GUENE"/>
    <d v="2022-06-30T00:00:00"/>
    <x v="6"/>
    <s v="GE0329"/>
    <s v="FR-500-GE-0213-2022"/>
    <s v="N/A"/>
    <s v="Suministro de Modem Router 4G"/>
    <n v="67851991"/>
    <s v="60 DIAS"/>
    <s v="900-IP-0385-2022"/>
    <m/>
    <n v="202203957"/>
    <m/>
    <s v="N/A"/>
    <s v="N/A"/>
    <s v="N/A"/>
    <x v="2"/>
    <s v="ANA MARIA GIL"/>
    <d v="2022-08-04T00:00:00"/>
    <e v="#VALUE!"/>
    <e v="#VALUE!"/>
    <s v="SI"/>
    <s v="Entregado al area"/>
    <x v="1"/>
    <s v="18 de julio en cotizaciones_x000a_2 agosto en solicitud de cotizaciones 4 DE AGOSTO REASIGNADOS A ANA MARIA GIL SE ENCUENTRA EN ELABORACION DE FPA E INVITACION"/>
    <m/>
    <d v="2022-09-13T00:00:00"/>
    <s v="Sep"/>
    <m/>
    <n v="75"/>
    <n v="40"/>
    <s v="G"/>
    <s v="INVERSION"/>
    <s v="500-AO-2248-2022"/>
    <d v="2022-09-05T00:00:00"/>
    <n v="64070076"/>
    <s v="POTENCIAS Y TECNOLOGIAS INCORPORADAS SA"/>
    <n v="202208361"/>
    <n v="3781915"/>
    <m/>
    <m/>
    <m/>
    <m/>
    <m/>
    <s v="CALI"/>
    <s v="LOCAL"/>
    <s v="UNIDAD DE OPERACIÓN"/>
    <n v="5.573771593526268E-2"/>
    <n v="1"/>
    <n v="1"/>
  </r>
  <r>
    <n v="343"/>
    <s v="0386"/>
    <s v="GUENE"/>
    <d v="2022-06-30T00:00:00"/>
    <x v="6"/>
    <s v="GE0328"/>
    <s v="FR-500-GE-0211-2022"/>
    <s v="N/A"/>
    <s v="Suministro de Inversor para RACK de 125 V DC 120 V AC"/>
    <n v="31887240"/>
    <m/>
    <s v="900-IP-0386-2022"/>
    <s v="IP-"/>
    <n v="202203959"/>
    <m/>
    <s v="N/A"/>
    <s v="N/A"/>
    <s v="N/A"/>
    <x v="2"/>
    <s v="ANA MARIA GIL"/>
    <d v="2022-08-04T00:00:00"/>
    <e v="#VALUE!"/>
    <e v="#VALUE!"/>
    <s v="NO"/>
    <s v="Cerrado"/>
    <x v="0"/>
    <m/>
    <s v="18 de julio en cotizaciones_x000a_2 de agosto enr ecepcion de ofertas para el 4 de agosto 4 DE AGOSTO REASIGNADO A ANA MARIA GIL_x000a_24 DE AGOSTO SE CERRO PORQUE LE PROVEEDOR NO APORTO EL DOCUMENTO DE SISTEMA DE SEGURIDAD Y SALUD EN EL TRABAJO."/>
    <d v="2022-08-24T00:00:00"/>
    <m/>
    <s v="ago"/>
    <n v="55"/>
    <n v="20"/>
    <s v="G"/>
    <s v="INVERSION"/>
    <m/>
    <m/>
    <m/>
    <m/>
    <m/>
    <m/>
    <m/>
    <m/>
    <m/>
    <m/>
    <m/>
    <m/>
    <m/>
    <m/>
    <m/>
    <n v="1"/>
    <m/>
  </r>
  <r>
    <n v="344"/>
    <s v="0387"/>
    <s v="GUENAA"/>
    <d v="2022-07-01T00:00:00"/>
    <x v="7"/>
    <s v="GAA0086_x000a_GAA0087"/>
    <s v="FR-300-GAA-0177-2022"/>
    <s v="N/A"/>
    <s v="Calibración de equipamiento de los Laboratorios de Ensayos y Calibraciones de la UENAA"/>
    <n v="30697842"/>
    <s v="90 DIAS"/>
    <s v="900-IP-0387-2022"/>
    <m/>
    <s v="202202262_x000a_202202458"/>
    <n v="20000000"/>
    <s v="N/A"/>
    <s v="N/A"/>
    <s v="N/A"/>
    <x v="2"/>
    <s v="JULIO GARCIA"/>
    <d v="2022-08-08T00:00:00"/>
    <e v="#VALUE!"/>
    <e v="#VALUE!"/>
    <s v="SI"/>
    <s v="Entregado al area"/>
    <x v="1"/>
    <m/>
    <m/>
    <d v="2022-09-21T00:00:00"/>
    <s v="Sep"/>
    <m/>
    <n v="82"/>
    <n v="44"/>
    <s v="G"/>
    <s v="FUNCIONAMIENTO"/>
    <s v="300-AO-2281-2022"/>
    <d v="2022-09-14T00:00:00"/>
    <n v="30684578"/>
    <s v="MESURA Y METROLOGIA LTDA"/>
    <n v="202208412"/>
    <n v="13264"/>
    <m/>
    <m/>
    <m/>
    <m/>
    <m/>
    <s v="CALI"/>
    <s v="LOCAL"/>
    <s v="LABORATORIO DE AGUA POTABLE"/>
    <n v="4.3208248970725692E-4"/>
    <n v="1"/>
    <n v="1"/>
  </r>
  <r>
    <n v="345"/>
    <s v="0388"/>
    <s v="GUENAA"/>
    <d v="2022-07-01T00:00:00"/>
    <x v="7"/>
    <s v="GAA0679"/>
    <s v="FR-300-GAA-0178-2022"/>
    <s v="N/A"/>
    <s v="Mantenimiento del sistema HVAC del Laboratorio de Agua Potable"/>
    <n v="69914880"/>
    <s v="90 DIAS"/>
    <s v="900-IP-0388-2022"/>
    <m/>
    <n v="202202234"/>
    <n v="69914880"/>
    <s v="N/A"/>
    <s v="N/A"/>
    <s v="N/A"/>
    <x v="2"/>
    <s v="ANA MARIA GIL"/>
    <d v="2022-08-08T00:00:00"/>
    <e v="#VALUE!"/>
    <e v="#VALUE!"/>
    <s v="SI"/>
    <s v="Entregado al area"/>
    <x v="1"/>
    <m/>
    <m/>
    <d v="2022-09-23T00:00:00"/>
    <s v="Sep"/>
    <m/>
    <n v="84"/>
    <n v="46"/>
    <s v="G"/>
    <s v="FUNCIONAMIENTO"/>
    <s v="300-AO-2337-2022"/>
    <d v="2022-09-15T00:00:00"/>
    <n v="57330202"/>
    <s v="VLADIMIR ROMERO SERVICIOS DE INGENIERIA SAS"/>
    <m/>
    <n v="12584678"/>
    <m/>
    <m/>
    <m/>
    <m/>
    <m/>
    <s v="CALI"/>
    <s v="LOCAL"/>
    <s v="LABORATORIO DE AGUA POTABLE"/>
    <n v="0.17999999427875726"/>
    <n v="1"/>
    <n v="1"/>
  </r>
  <r>
    <n v="346"/>
    <s v="0389"/>
    <s v="GUENAA"/>
    <d v="2022-07-01T00:00:00"/>
    <x v="7"/>
    <s v="GAA0739"/>
    <s v="FR-300-GAA-0180-2022"/>
    <s v="300-CMA-1892-2022"/>
    <s v="Suministro de Alcalinizante para las Plantas de Tratamiento de Agua Potable de la Unidad de Producción de Agua Potable: Cal Viva"/>
    <n v="110134500"/>
    <m/>
    <s v="900-IP-0389-2022"/>
    <s v="IP-"/>
    <n v="202202688"/>
    <n v="110134500"/>
    <s v="N/A"/>
    <s v="N/A"/>
    <s v="N/A"/>
    <x v="2"/>
    <s v="AYDEE OVALLE"/>
    <d v="2022-07-01T00:00:00"/>
    <e v="#VALUE!"/>
    <e v="#VALUE!"/>
    <s v="NO"/>
    <s v="Entregado al area"/>
    <x v="1"/>
    <m/>
    <s v="18 de julio en elaboracion de la fpa_x000a_2 DE AGOSTO EN EVALUACION DE SUBSANBLES_x000a_ACTA DE TERMINACION ANTICIPADA "/>
    <d v="2022-09-08T00:00:00"/>
    <s v="Dec"/>
    <s v="sep"/>
    <n v="69"/>
    <n v="69"/>
    <s v="L"/>
    <s v="OPERACIÓN"/>
    <s v="300-AO-2088-2022"/>
    <d v="2022-08-05T00:00:00"/>
    <n v="110134500"/>
    <s v="CALABASTOS S.A.S."/>
    <n v="202207715"/>
    <n v="0"/>
    <m/>
    <m/>
    <m/>
    <m/>
    <m/>
    <m/>
    <m/>
    <m/>
    <n v="0"/>
    <n v="1"/>
    <n v="1"/>
  </r>
  <r>
    <n v="347"/>
    <s v="0390"/>
    <s v="GUENE"/>
    <d v="2022-07-01T00:00:00"/>
    <x v="7"/>
    <s v="GE0222_x000a_GE0229_x000a_GE0321_x000a_GE0322_x000a_GE0326"/>
    <s v="FR-500-GE-0199-2022"/>
    <s v="N/A"/>
    <s v="Suministro de materiales y elementos de protección eléctrica para ser instalados en redes y subestaciones de energía"/>
    <n v="499985714"/>
    <m/>
    <s v="900-IP-0390-2022"/>
    <s v="IP-"/>
    <n v="202203887"/>
    <m/>
    <s v="N/A"/>
    <s v="N/A"/>
    <s v="N/A"/>
    <x v="2"/>
    <s v="JULIETA ORTIZ"/>
    <d v="2022-07-01T00:00:00"/>
    <e v="#VALUE!"/>
    <e v="#VALUE!"/>
    <s v="NO"/>
    <s v="Devuelto"/>
    <x v="2"/>
    <m/>
    <s v="18 DE JULIO SE DEVOLVIO AL AREA  POR EL BAJO PRSUPUESTO Y EL ALZA DEL DÓLAR"/>
    <d v="2022-07-19T00:00:00"/>
    <m/>
    <s v="jul"/>
    <n v="18"/>
    <n v="18"/>
    <m/>
    <s v="FUNCIONAMIENTO_x000a_INVERSION"/>
    <m/>
    <m/>
    <m/>
    <m/>
    <m/>
    <m/>
    <m/>
    <m/>
    <m/>
    <m/>
    <m/>
    <m/>
    <m/>
    <m/>
    <m/>
    <n v="1"/>
    <m/>
  </r>
  <r>
    <n v="348"/>
    <s v="0391"/>
    <s v="GUENAA"/>
    <d v="2022-07-05T00:00:00"/>
    <x v="7"/>
    <s v="GAA0054"/>
    <s v="FR-300-GAA-0176-2022"/>
    <s v="N/A"/>
    <s v="Actualizar el modelo de nivel económico de pérdidas y planificar la fase III de la Gestión de Recuperación de Agua en Macrosectores"/>
    <n v="499608410"/>
    <s v="4 MESES"/>
    <s v="900-IP-0391-2022"/>
    <m/>
    <n v="202203017"/>
    <n v="499608410"/>
    <s v="N/A"/>
    <s v="N/A"/>
    <s v="N/A"/>
    <x v="2"/>
    <s v="LINA ECHAVARRIA"/>
    <d v="2022-07-07T00:00:00"/>
    <n v="71"/>
    <n v="69"/>
    <s v="SI"/>
    <s v="Entregado al area"/>
    <x v="1"/>
    <s v="1 DE AGOSTO EN APROBACION DE POLIZAS"/>
    <m/>
    <d v="2022-08-02T00:00:00"/>
    <s v="Aug"/>
    <m/>
    <n v="28"/>
    <n v="26"/>
    <s v="G"/>
    <s v="INVERSION"/>
    <s v="300-AO-2040-2022"/>
    <d v="2022-07-21T00:00:00"/>
    <n v="497000000"/>
    <s v="GARZON SALINAS ASOCIADAS SAS"/>
    <n v="202207205"/>
    <n v="2608410"/>
    <m/>
    <m/>
    <m/>
    <m/>
    <m/>
    <s v="CALI"/>
    <s v="LOCAL"/>
    <s v="UNIDAD DE PROSPECTIVA Y DESARROLLO DE NEGOCIOS"/>
    <n v="5.2209089114412625E-3"/>
    <n v="1"/>
    <n v="1"/>
  </r>
  <r>
    <n v="349"/>
    <s v="0392"/>
    <s v="GUENAA"/>
    <d v="2022-07-05T00:00:00"/>
    <x v="7"/>
    <s v="GAA0277"/>
    <s v="FR-300-GAA-0054-2022"/>
    <s v="N/A"/>
    <s v="Compra de cartas graficas circulares para registradores ref 4686 x 100 UND"/>
    <n v="4996810"/>
    <s v="28 de noviembre 2022"/>
    <s v="900-IP-0392-2022"/>
    <m/>
    <n v="202200780"/>
    <n v="4996810"/>
    <s v="N/A"/>
    <s v="N/A"/>
    <s v="N/A"/>
    <x v="2"/>
    <s v="ANA MARIA GIL"/>
    <d v="2022-07-05T00:00:00"/>
    <e v="#VALUE!"/>
    <e v="#VALUE!"/>
    <s v="SI"/>
    <s v="Entregado al area"/>
    <x v="1"/>
    <s v="2 DE AGOSTO EN EVALUACION DE LOS SUBSANABLES 4 DE AGOSTO EN ACEPTACION DE LA OFERTA"/>
    <s v="ERROR EN EL NUMERO DE LA IMPUTACION PRESUPUESTAL, ES NECESARIO HACER EL OTRO SI PARA SACAR EL RP"/>
    <d v="2022-09-13T00:00:00"/>
    <s v="Sep"/>
    <m/>
    <n v="70"/>
    <n v="70"/>
    <s v="G"/>
    <s v="FUNCIONAMIENTO"/>
    <s v="300-AO-2078-2022"/>
    <d v="2022-08-02T00:00:00"/>
    <n v="4996810"/>
    <s v="QUIMPORT LIMITADA"/>
    <n v="202207741"/>
    <n v="0"/>
    <m/>
    <m/>
    <m/>
    <m/>
    <m/>
    <s v="CALI"/>
    <s v="LOCAL"/>
    <s v="UNIDAD DE DISTRIBUCIÓN"/>
    <n v="0"/>
    <n v="1"/>
    <n v="1"/>
  </r>
  <r>
    <n v="350"/>
    <s v="0393"/>
    <s v="GUENAA"/>
    <d v="2022-07-05T00:00:00"/>
    <x v="7"/>
    <s v="GAA0690_x000a_GAA0691"/>
    <s v="FR-300-GAA-0181-2022"/>
    <s v="N/A"/>
    <s v="Suministro de reactivos y materiales para realizar ensayos microbiológicos en los Laboratorios de Ensayos de la UENAA"/>
    <n v="117518450"/>
    <s v="28 DE NOVIEMBRE 2022"/>
    <s v="900-IP-0396-2022"/>
    <m/>
    <s v="202202247_x000a_202202249"/>
    <n v="117518450"/>
    <s v="N/A"/>
    <s v="N/A"/>
    <s v="N/A"/>
    <x v="2"/>
    <s v="JULIO GARCIA"/>
    <d v="2022-08-12T00:00:00"/>
    <e v="#VALUE!"/>
    <e v="#VALUE!"/>
    <s v="SI"/>
    <s v="Entregado al area"/>
    <x v="1"/>
    <s v="1 DE AGOSTO EN ELABORACION DE FPA E INVITACION, SE DEMORO PORQUE TUVIERON QUE CAMBIAR EL CDP POR INCREMENTO DEL VALOR DEL DOLAR._x000a_12 de agosto reasignado a julio ernesto porque Adalberto sale a vacaciones"/>
    <s v="SE SOLICITO A VIAGNERY LA FIRMA DE LA FICHA DE RQUERIMIENTO PARA AVANZAR Y QUE GESTIONE EL FORMULARIO DE PRECIOS Y CANTIDADES."/>
    <d v="2022-09-09T00:00:00"/>
    <s v="Sep"/>
    <m/>
    <n v="66"/>
    <n v="28"/>
    <s v="C"/>
    <s v="FUNCIONAMIENTO"/>
    <s v="300-AO-2223-2022"/>
    <d v="2022-08-31T00:00:00"/>
    <n v="117518450"/>
    <s v="AQUALAB SAS"/>
    <n v="202208247"/>
    <n v="0"/>
    <m/>
    <m/>
    <m/>
    <m/>
    <m/>
    <s v="BOGOTA"/>
    <s v="NACIONAL"/>
    <s v="LABORATORIO DE AGUA POTABLE"/>
    <n v="0"/>
    <n v="1"/>
    <n v="1"/>
  </r>
  <r>
    <n v="351"/>
    <s v="0394"/>
    <s v="GUENAA"/>
    <d v="2022-07-05T00:00:00"/>
    <x v="7"/>
    <s v="GAA0090"/>
    <s v="FR-300-GAA-0182-2022"/>
    <s v="N/A"/>
    <s v="Realizar ensayos de sustancias de interés sanitario a muestras de agua cruda, tratada provenientes de las Plantas de Potabilización y de la red de distribución de EMCALI EICE ESP"/>
    <n v="187037566"/>
    <s v="90 DIAS"/>
    <s v="900-IP-0394-2022"/>
    <s v="IP-"/>
    <n v="202202471"/>
    <n v="187037566"/>
    <s v="N/A"/>
    <s v="N/A"/>
    <s v="N/A"/>
    <x v="2"/>
    <s v="ANA MARIA GIL"/>
    <d v="2022-08-04T00:00:00"/>
    <e v="#VALUE!"/>
    <e v="#VALUE!"/>
    <s v="SI"/>
    <s v="Cerrado"/>
    <x v="0"/>
    <d v="2022-12-30T00:00:00"/>
    <s v="18 de julio en elaboracion de la fpa e invitacion_x000a_2 de agosto encotizaciones nuevamente porque el ganador anterior desistio  4 DE AGOSTO REASIGNADO A ANA MARIA GIL _x000a_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_x000a_28 DE SEPTIEMBRE EN OTRO SI PARA AMPLAICION DEL PLAZO"/>
    <d v="2022-12-28T00:00:00"/>
    <m/>
    <s v="dic"/>
    <n v="176"/>
    <n v="146"/>
    <s v="G"/>
    <s v="FUNCIONAMIENTO"/>
    <s v="300-AO-2338-2022"/>
    <d v="2022-09-15T00:00:00"/>
    <n v="185028136"/>
    <s v="SGS COLOMBIA SAS"/>
    <n v="202208528"/>
    <n v="2009430"/>
    <m/>
    <s v="BOGOTA"/>
    <s v="NACIONAL"/>
    <m/>
    <m/>
    <m/>
    <m/>
    <m/>
    <m/>
    <n v="1"/>
    <m/>
  </r>
  <r>
    <n v="352"/>
    <s v="0395"/>
    <s v="GUENAA"/>
    <d v="2022-07-05T00:00:00"/>
    <x v="7"/>
    <s v="GAA0688_x000a_GAA0681"/>
    <s v="FR-300-GAA-0183-2022"/>
    <s v="N/A"/>
    <s v="Realizar mantenimiento a las cabinas y sistemas de extracción de los laboratorios de ensayos de la UENAA"/>
    <n v="22999999"/>
    <s v="90 DIAS"/>
    <s v="900-IP-395-2022"/>
    <m/>
    <s v="202202244_x000a_202202236"/>
    <n v="22999999"/>
    <s v="N/A"/>
    <s v="N/A"/>
    <s v="N/A"/>
    <x v="2"/>
    <s v="ESTEFANIA SANCHEZ"/>
    <d v="2022-08-08T00:00:00"/>
    <n v="126"/>
    <n v="92"/>
    <s v="SI"/>
    <s v="Entregado al area"/>
    <x v="1"/>
    <s v="28 DE SEPTIEMBRE EN SOLCIITUD DE POLIZAS"/>
    <m/>
    <d v="2022-10-04T00:00:00"/>
    <s v="Oct"/>
    <n v="91"/>
    <m/>
    <n v="57"/>
    <s v="G"/>
    <s v="FUNCIONAMIENTO"/>
    <s v="300-AO-2325-2022"/>
    <d v="2022-09-15T00:00:00"/>
    <n v="22999999"/>
    <s v="AIRCO SAS"/>
    <n v="202208492"/>
    <n v="0"/>
    <s v="CALI"/>
    <s v="LOCAL"/>
    <m/>
    <m/>
    <m/>
    <m/>
    <m/>
    <m/>
    <n v="0"/>
    <n v="1"/>
    <n v="1"/>
  </r>
  <r>
    <n v="353"/>
    <s v="0396"/>
    <s v="GUENAA"/>
    <d v="2022-07-05T00:00:00"/>
    <x v="7"/>
    <s v="GAA0689"/>
    <s v="FR-300-GAA-0184-2022"/>
    <s v="N/A"/>
    <s v="Realizar mantenimiento al sistema de control de acceso del laboratorio de aguas residuales."/>
    <n v="6997200"/>
    <m/>
    <s v="900-IP-0393-2022"/>
    <s v="IP-"/>
    <n v="202202245"/>
    <m/>
    <s v="N/A"/>
    <s v="N/A"/>
    <s v="N/A"/>
    <x v="2"/>
    <s v="JESSICA ROJAS"/>
    <d v="2022-08-08T00:00:00"/>
    <e v="#VALUE!"/>
    <e v="#VALUE!"/>
    <m/>
    <s v="Entregado al area"/>
    <x v="1"/>
    <d v="2022-12-26T00:00:00"/>
    <s v="28 DE SEPTIEMBRE EN EVALUACION"/>
    <d v="2022-12-23T00:00:00"/>
    <s v="Dec"/>
    <s v="dic"/>
    <n v="171"/>
    <n v="137"/>
    <s v="G"/>
    <s v="FUNCIONAMIENTO"/>
    <s v="300-AO-2484-2022"/>
    <d v="2022-12-19T00:00:00"/>
    <n v="6997200"/>
    <s v="SERVICIOS INDUSTRIALES Y DE TECNOLOGIA SAS"/>
    <s v="PM-2100000114"/>
    <n v="0"/>
    <m/>
    <m/>
    <m/>
    <m/>
    <m/>
    <m/>
    <m/>
    <m/>
    <n v="0"/>
    <n v="1"/>
    <n v="1"/>
  </r>
  <r>
    <n v="354"/>
    <s v="0397"/>
    <s v="GUENAA"/>
    <d v="2022-07-05T00:00:00"/>
    <x v="7"/>
    <s v="GAA0060"/>
    <s v="FR-300-GAA-0185-2022"/>
    <s v="N/A"/>
    <s v="Realizar el mantenimiento a equipos volumétricos y de apoyo del laboratorio aguas residuales"/>
    <n v="24916996"/>
    <s v="90 DIAS"/>
    <s v="900-IP-0397-2022"/>
    <m/>
    <n v="202202238"/>
    <n v="48136532"/>
    <s v="N/A"/>
    <s v="N/A"/>
    <s v="N/A"/>
    <x v="2"/>
    <s v="IVAN ALDANA"/>
    <d v="2022-08-08T00:00:00"/>
    <e v="#VALUE!"/>
    <e v="#VALUE!"/>
    <s v="SI"/>
    <s v="Entregado al area"/>
    <x v="1"/>
    <s v="8 de agosto reasignado a ivan aldana, lo tenia mario"/>
    <m/>
    <d v="2022-09-19T00:00:00"/>
    <s v="Sep"/>
    <m/>
    <n v="76"/>
    <n v="42"/>
    <s v="G"/>
    <s v="FUNCIONAMIENTO"/>
    <s v="300-AO-2273-2022"/>
    <d v="2022-09-09T00:00:00"/>
    <n v="24916996"/>
    <s v="SERCO  SERVICIO Y SUMINISTRO QUIMICOS LTDA"/>
    <m/>
    <n v="0"/>
    <m/>
    <m/>
    <m/>
    <m/>
    <m/>
    <s v="BOGOTA"/>
    <s v="NACIONAL"/>
    <s v="LABORATORIO DE AGUAS RESIDUALES"/>
    <n v="0"/>
    <n v="1"/>
    <n v="1"/>
  </r>
  <r>
    <n v="355"/>
    <s v="0398"/>
    <s v="GAGHA"/>
    <d v="2022-07-05T00:00:00"/>
    <x v="7"/>
    <s v="GHA0245"/>
    <s v="FR-800-GHA-0161-2022"/>
    <s v="N/A"/>
    <s v="Adquirir, instalar, configurar, integrar y poner en marcha el sistema de Circuito Cerrado de Televisión CCTV en la Subestación Melendez de EMCALI EICE ESP"/>
    <n v="349318315"/>
    <s v="28 DE NOVIEMBRE 2022"/>
    <s v="900-IP-0398-2022"/>
    <m/>
    <n v="202201121"/>
    <m/>
    <s v="N/A"/>
    <s v="N/A"/>
    <s v="N/A"/>
    <x v="2"/>
    <s v="LEIDY FRANCO"/>
    <d v="2022-07-08T00:00:00"/>
    <n v="71"/>
    <n v="68"/>
    <s v="SI"/>
    <s v="Entregado al area"/>
    <x v="1"/>
    <s v="3 DE AGOSTO EN EVALUACION_x000a_10 de agosto en expedicion de polizas"/>
    <m/>
    <d v="2022-08-18T00:00:00"/>
    <s v="Aug"/>
    <m/>
    <n v="44"/>
    <n v="41"/>
    <s v="G"/>
    <s v="FUNCIONAMIENTO"/>
    <s v="800-AO-2092-2022"/>
    <d v="2022-08-09T00:00:00"/>
    <n v="346933710"/>
    <s v="SPECTRA INGENIERIA SAS"/>
    <n v="202207726"/>
    <n v="2384605"/>
    <m/>
    <m/>
    <m/>
    <m/>
    <m/>
    <s v="CALI"/>
    <s v="LOCAL"/>
    <s v="UNIDAD SEGURIDAD FISICA Y ELECTRONICA"/>
    <n v="6.8264528299926104E-3"/>
    <n v="0"/>
    <n v="1"/>
  </r>
  <r>
    <n v="356"/>
    <s v="0399"/>
    <s v="GAGHA"/>
    <d v="2022-07-06T00:00:00"/>
    <x v="7"/>
    <s v="GHA0070"/>
    <s v="FR-800-163-2022"/>
    <s v="N/A"/>
    <s v="compra de papel fotocopia blanco láser tamaño carta y oficio de 75gramos con logo de EMCALI y sin logo "/>
    <n v="211328054"/>
    <s v="28 DE NOVIEMBRE 2022"/>
    <s v="900-IP-0399-2022"/>
    <m/>
    <n v="202203488"/>
    <m/>
    <s v="N/A"/>
    <s v="N/A"/>
    <s v="N/A"/>
    <x v="2"/>
    <s v="LINA ECHAVARRIA"/>
    <d v="2022-07-19T00:00:00"/>
    <n v="70"/>
    <n v="57"/>
    <s v="SI"/>
    <s v="Entregado al area"/>
    <x v="1"/>
    <s v="1 DE AGOSTO EN RECEPCION DE OFERTAS_x000a_18 de agosto en recepcion de ofertas"/>
    <m/>
    <d v="2022-08-23T00:00:00"/>
    <s v="Aug"/>
    <m/>
    <n v="48"/>
    <n v="35"/>
    <s v="G"/>
    <s v="FUNCIONAMIENTO"/>
    <s v="800-AO-2155-2022"/>
    <d v="2022-08-16T00:00:00"/>
    <n v="211328054"/>
    <s v="DISPAPELES SAS"/>
    <n v="202207862"/>
    <n v="0"/>
    <m/>
    <m/>
    <m/>
    <m/>
    <m/>
    <s v="CALI"/>
    <s v="LOCAL"/>
    <s v="UNIDAD DE GESTIÓN ADMINISTRATIVA"/>
    <n v="0"/>
    <n v="0"/>
    <n v="1"/>
  </r>
  <r>
    <n v="357"/>
    <s v="0400"/>
    <s v="GUENAA"/>
    <d v="2022-07-06T00:00:00"/>
    <x v="7"/>
    <s v="GAA0747"/>
    <s v="FR-300-GAA-0187-2022"/>
    <s v="N/A"/>
    <s v="Suministro de rejillas para sumideros en polimero de 8 huecos"/>
    <n v="119114240"/>
    <s v="28 DE NOVIEMBRE 2022"/>
    <s v="900-IP-0400-2022"/>
    <m/>
    <n v="202201931"/>
    <n v="119537500"/>
    <s v="N/A"/>
    <s v="N/A"/>
    <s v="N/A"/>
    <x v="2"/>
    <s v="JUAN DAVID GOMEZ"/>
    <d v="2022-07-08T00:00:00"/>
    <e v="#VALUE!"/>
    <e v="#VALUE!"/>
    <s v="SI"/>
    <s v="Entregado al area"/>
    <x v="1"/>
    <s v="1 DE AGOSTO EN ELABORACION DE FPA E INVITACION. 5 DE AGOSTO EN REVISION DE FPA E INVITACION."/>
    <m/>
    <d v="2022-09-20T00:00:00"/>
    <s v="Sep"/>
    <m/>
    <n v="76"/>
    <n v="74"/>
    <s v="G"/>
    <s v="FUNCIONAMIENTO"/>
    <s v="300-AO-2253-2022"/>
    <d v="2022-09-06T00:00:00"/>
    <n v="119114240"/>
    <s v="PLASTYCONS SAS"/>
    <n v="202208343"/>
    <n v="0"/>
    <m/>
    <m/>
    <m/>
    <m/>
    <m/>
    <s v="CALI"/>
    <s v="LOCAL"/>
    <s v="ACUEDUCTO Y ALCANTARILLADO "/>
    <n v="0"/>
    <n v="1"/>
    <n v="1"/>
  </r>
  <r>
    <n v="358"/>
    <s v="0401"/>
    <s v="GUENAA"/>
    <d v="2022-07-06T00:00:00"/>
    <x v="7"/>
    <s v="GAA0702_x000a_GAA0701"/>
    <s v="FR-300-GAA-0186-2022"/>
    <s v="N/A"/>
    <s v="Calificación y/o validación del equipamiento de los laboratorios de los ensayos de UENAA"/>
    <n v="22601670"/>
    <s v="90 DIAS"/>
    <s v="900-IP-0401-2022"/>
    <m/>
    <s v="202202459"/>
    <n v="22601670"/>
    <s v="N/A"/>
    <s v="N/A"/>
    <s v="N/A"/>
    <x v="2"/>
    <s v="ADALBERTO VALENCIA"/>
    <d v="2022-08-08T00:00:00"/>
    <e v="#VALUE!"/>
    <e v="#VALUE!"/>
    <s v="SI"/>
    <s v="Entregado al area"/>
    <x v="1"/>
    <m/>
    <m/>
    <d v="2022-09-20T00:00:00"/>
    <s v="Sep"/>
    <m/>
    <n v="76"/>
    <n v="43"/>
    <s v="G"/>
    <s v="FUNCIONAMIENTO"/>
    <s v="300-AO-2292-2022"/>
    <d v="2022-09-14T00:00:00"/>
    <n v="22601670"/>
    <s v="FABIAN ANDRES ARAGON LOPEZ"/>
    <n v="202208424"/>
    <n v="0"/>
    <m/>
    <m/>
    <m/>
    <m/>
    <m/>
    <s v="CALI"/>
    <s v="LOCAL"/>
    <s v="ACUEDUCTO Y ALCANTARILLADO "/>
    <n v="0"/>
    <n v="1"/>
    <n v="1"/>
  </r>
  <r>
    <n v="359"/>
    <s v="0402"/>
    <s v="GUENAA"/>
    <d v="2022-07-06T00:00:00"/>
    <x v="7"/>
    <s v="GAA0240"/>
    <s v="FR-300-GAA-0179-2022"/>
    <s v="N/A"/>
    <s v="Realizar la fabricación y suministro de un carro tanque o camion cisterna para el transporte de cloro liquido de la planta de potabilización puerto mallarino "/>
    <n v="445655000"/>
    <m/>
    <s v="900-IP-0402-2022"/>
    <s v="IP-"/>
    <s v="202202967"/>
    <m/>
    <s v="N/A"/>
    <s v="N/A"/>
    <s v="N/A"/>
    <x v="2"/>
    <s v="LINA ECHAVARRIA"/>
    <d v="2022-07-19T00:00:00"/>
    <e v="#VALUE!"/>
    <e v="#VALUE!"/>
    <s v="NO"/>
    <s v="Devuelto"/>
    <x v="2"/>
    <m/>
    <s v="19 de julio re asignado a leidy franco_x000a_1 DE AGOSTO VUELVE A LINA ECHAVARRIA"/>
    <d v="2022-08-01T00:00:00"/>
    <m/>
    <s v="ago"/>
    <n v="26"/>
    <n v="13"/>
    <s v="G"/>
    <s v="INVERSION"/>
    <m/>
    <m/>
    <m/>
    <m/>
    <m/>
    <m/>
    <m/>
    <m/>
    <m/>
    <m/>
    <m/>
    <m/>
    <m/>
    <m/>
    <m/>
    <n v="1"/>
    <m/>
  </r>
  <r>
    <n v="360"/>
    <s v="0403"/>
    <s v="GAGHA"/>
    <d v="2022-07-06T00:00:00"/>
    <x v="7"/>
    <s v="GHA0050_x000a_GHA0051"/>
    <s v="FR-800-GAGHA-162-2022"/>
    <s v="N/A"/>
    <s v="Suministrar elementos de proteccion personal para las diferentes actividades realizadas por los servidores públicos de EMCALI EICE ESP"/>
    <n v="1155586097"/>
    <m/>
    <s v="900-IPU-0403-2022"/>
    <s v="IPU"/>
    <s v="202202880"/>
    <m/>
    <s v="N/A"/>
    <s v="N/A"/>
    <s v="N/A"/>
    <x v="0"/>
    <s v="LINA ECHAVARRIA"/>
    <d v="2022-07-19T00:00:00"/>
    <e v="#VALUE!"/>
    <e v="#VALUE!"/>
    <m/>
    <s v="Entregado al area"/>
    <x v="1"/>
    <d v="2022-11-30T00:00:00"/>
    <s v="1 DE AGOSTO EN ELABORACION DE LA CC_x000a_3 de agosto para revision de la fpa por parte de silvia_x000a_18 de agosto en recepcion de ofertas_x000a_28 DE SEPTIEMBRE EN EVALUACION SOBRE 1"/>
    <d v="2022-12-05T00:00:00"/>
    <s v="Dec"/>
    <s v="dic"/>
    <n v="152"/>
    <n v="139"/>
    <s v="G"/>
    <s v="FUNCIONAMIENTO"/>
    <s v="800-AO-2432-2022"/>
    <d v="2022-11-29T00:00:00"/>
    <n v="887895578"/>
    <s v="SURAMERICANA DE GUANTES SAS"/>
    <s v="AB2300002952"/>
    <n v="267690519"/>
    <m/>
    <m/>
    <m/>
    <m/>
    <m/>
    <m/>
    <m/>
    <m/>
    <n v="0.23164913431802911"/>
    <n v="0"/>
    <n v="2"/>
  </r>
  <r>
    <n v="361"/>
    <s v="0404"/>
    <s v="GUENAA"/>
    <d v="2022-07-07T00:00:00"/>
    <x v="7"/>
    <s v="GAA0657"/>
    <s v="FR-300-GAA-0092-2022"/>
    <s v="N/A"/>
    <s v="Consultoria para la formulación del plan de gestión del plan de manejo para vertimientos (PGRMV) de la planta de tratamiento de aguas residuales cañaveralejo - PTAR-C de EMCALI EICE ESP"/>
    <n v="880000000"/>
    <m/>
    <s v="900-IP-0404-2022"/>
    <m/>
    <s v="202202407"/>
    <m/>
    <s v="N/A"/>
    <s v="N/A"/>
    <s v="N/A"/>
    <x v="2"/>
    <s v="PAOLA BELTRAN"/>
    <d v="2022-08-03T00:00:00"/>
    <e v="#VALUE!"/>
    <e v="#VALUE!"/>
    <m/>
    <s v="Solicitud de Polizas y Rp"/>
    <x v="1"/>
    <s v="18 de julio en solicitud de conceptos_x000a_2 de agosto se va a reasignar el proceso A OTRO GESTOR DE AGOSTO ASIGNADO A PAOLA Y ESPERANDO AJUSTES DE LAS ESPECIFICACIONES TECNICAS Y FR_x000a_28 DE SEPTIEMBRE SOLICITUD DE POLIZAS"/>
    <m/>
    <d v="2022-09-02T00:00:00"/>
    <s v="Oct"/>
    <m/>
    <n v="57"/>
    <n v="30"/>
    <s v="B"/>
    <s v="FUNCIONAMIENTO"/>
    <s v="300-AO-2285-2022"/>
    <d v="2022-09-14T00:00:00"/>
    <n v="879780000"/>
    <s v="FAMINDUSTRIAL ASESORES AMBIENTALES SAS"/>
    <m/>
    <n v="220000"/>
    <m/>
    <m/>
    <m/>
    <m/>
    <m/>
    <m/>
    <m/>
    <s v="ACUEDUCTO Y ALCANTARILLADO "/>
    <n v="2.5000000000000001E-4"/>
    <n v="1"/>
    <n v="1"/>
  </r>
  <r>
    <n v="362"/>
    <s v="0405"/>
    <s v="GAGHA"/>
    <d v="2022-07-07T00:00:00"/>
    <x v="7"/>
    <s v="GHA0274"/>
    <s v="FR-800-GHA-0164-2022"/>
    <s v="N/A"/>
    <s v="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
    <n v="420000000"/>
    <m/>
    <s v="N/A"/>
    <m/>
    <n v="202204127"/>
    <m/>
    <s v="N/A"/>
    <s v="N/A"/>
    <s v="N/A"/>
    <x v="1"/>
    <s v="ESTEFANIA SANCHEZ"/>
    <d v="2022-07-08T00:00:00"/>
    <n v="69"/>
    <n v="68"/>
    <s v="SI"/>
    <s v="Entregado al area"/>
    <x v="1"/>
    <s v="2 de agosto pata numeracion de la aceptacion"/>
    <m/>
    <d v="2022-08-11T00:00:00"/>
    <s v="Aug"/>
    <m/>
    <n v="35"/>
    <n v="34"/>
    <s v="N/A"/>
    <s v="FUNCIONAMIENTO"/>
    <s v="CMA-1913-2021-800-AO-2079-2022"/>
    <d v="2022-08-04T00:00:00"/>
    <n v="398896579"/>
    <s v="GUSTAVO ADOLFO TORRES DUARTE"/>
    <n v="202207674"/>
    <n v="21103421"/>
    <m/>
    <m/>
    <m/>
    <m/>
    <m/>
    <m/>
    <m/>
    <s v="UNIDAD DE GESTIÓN ADMINISTRATIVA"/>
    <n v="5.0246240476190474E-2"/>
    <n v="0"/>
    <n v="0"/>
  </r>
  <r>
    <n v="363"/>
    <s v="0406"/>
    <s v="GAGHA"/>
    <d v="2022-07-08T00:00:00"/>
    <x v="7"/>
    <s v="GAA0750"/>
    <s v="FR-300-GAA-0075-2022"/>
    <s v="N/A"/>
    <s v="Suministro de lubricantes para todas las estaciones de bombeo de aguas lluvias y/o residuales"/>
    <n v="52771303"/>
    <m/>
    <s v="900-IP-0406-2022"/>
    <s v="IP-"/>
    <n v="202201835"/>
    <m/>
    <s v="N/A"/>
    <s v="N/A"/>
    <s v="N/A"/>
    <x v="2"/>
    <s v="JULIO GARCIA"/>
    <d v="2022-07-12T00:00:00"/>
    <e v="#VALUE!"/>
    <e v="#VALUE!"/>
    <s v="NO"/>
    <s v="Devuelto"/>
    <x v="2"/>
    <m/>
    <s v="2 de agosto revision de invitacion y fpa"/>
    <d v="2022-08-11T00:00:00"/>
    <m/>
    <s v="ago"/>
    <n v="34"/>
    <n v="30"/>
    <m/>
    <s v="FUNCIONAMIENTO"/>
    <m/>
    <m/>
    <m/>
    <m/>
    <m/>
    <m/>
    <m/>
    <m/>
    <m/>
    <m/>
    <m/>
    <m/>
    <m/>
    <m/>
    <m/>
    <n v="0"/>
    <m/>
  </r>
  <r>
    <n v="364"/>
    <s v="0407"/>
    <s v="GUENTIC"/>
    <d v="2022-07-08T00:00:00"/>
    <x v="7"/>
    <s v="GT0197"/>
    <s v="FR-400-GT-0168-2022"/>
    <s v="N/A"/>
    <s v="Suministro de cajas de distribución óptica para redes FTTH, requeridas para garantizar los servicios prestados por la GUENTIC. De acuerdo al formulario de cantidades y precios y a los requisitos técnicos"/>
    <n v="224621449"/>
    <m/>
    <s v="900-IP-0407-2022"/>
    <s v="IP-"/>
    <s v="202202446_x000a_202202438"/>
    <m/>
    <s v="N/A"/>
    <s v="N/A"/>
    <s v="N/A"/>
    <x v="2"/>
    <s v="JULIO GARCIA"/>
    <d v="2022-07-12T00:00:00"/>
    <e v="#VALUE!"/>
    <e v="#VALUE!"/>
    <s v="NO"/>
    <s v="Devuelto"/>
    <x v="2"/>
    <d v="2022-11-12T00:00:00"/>
    <s v="2 de agosto en cotizaciones Pendiente firma desde el 8 de noviembre de 2022 por parte del Gerente GAE (E ) para devolución del proceso al área_x000a_29 DE SEPTIEMBRE SE DEVOLVERA AL AREA_x000a_Pendiente firma desde el 8 de noviembre de 2022 por parte del Gerente GAE (E ) para devolución del proceso al área"/>
    <d v="2022-11-08T00:00:00"/>
    <m/>
    <s v="nov"/>
    <n v="123"/>
    <n v="119"/>
    <m/>
    <s v="FUNCIONAMIENTO"/>
    <m/>
    <m/>
    <m/>
    <m/>
    <m/>
    <m/>
    <m/>
    <m/>
    <m/>
    <m/>
    <m/>
    <m/>
    <m/>
    <m/>
    <m/>
    <n v="0"/>
    <m/>
  </r>
  <r>
    <n v="365"/>
    <s v="0408"/>
    <s v="GUENT"/>
    <d v="2022-07-08T00:00:00"/>
    <x v="7"/>
    <s v="GT0234"/>
    <s v="FR-400-GT-0186-2022"/>
    <s v="N/A"/>
    <s v="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
    <n v="496515600"/>
    <s v="30 DIAS"/>
    <s v="900-IP-0408-2022"/>
    <m/>
    <n v="202203853"/>
    <n v="500000000"/>
    <s v="N/A"/>
    <s v="N/A"/>
    <s v="N/A"/>
    <x v="2"/>
    <s v="LINA ECHAVARRIA"/>
    <d v="2022-07-22T00:00:00"/>
    <e v="#VALUE!"/>
    <e v="#VALUE!"/>
    <s v="SI"/>
    <s v="Entregado al area"/>
    <x v="1"/>
    <s v="22 DE JULIO REASIGNADO A LINA ECHAVARRIA"/>
    <m/>
    <d v="2022-09-22T00:00:00"/>
    <s v="Sep"/>
    <m/>
    <n v="76"/>
    <n v="62"/>
    <s v="C"/>
    <s v="INVERSION"/>
    <s v="400-AO-2367-2022"/>
    <d v="2022-09-15T00:00:00"/>
    <n v="496372800"/>
    <s v="LATIC SAS"/>
    <n v="202208535"/>
    <n v="142800"/>
    <m/>
    <m/>
    <m/>
    <m/>
    <m/>
    <s v="BOGOTA"/>
    <s v="NACIONAL"/>
    <s v="UNIDAD DE PROSPECTIVA Y DESARROLLO DE NEGOCIOS"/>
    <n v="2.8760425654299681E-4"/>
    <n v="1"/>
    <n v="1"/>
  </r>
  <r>
    <n v="366"/>
    <s v="0409"/>
    <s v="GUENE"/>
    <d v="2022-07-11T00:00:00"/>
    <x v="7"/>
    <s v="GE0337"/>
    <s v="FR-500-GE-0190-2022"/>
    <s v="N/A"/>
    <s v="Mantenimiento general de transformadores de potencia de las Subestaciones de Energía"/>
    <n v="535500000"/>
    <s v="120 DIAS"/>
    <s v="900-IP-0409-2022"/>
    <m/>
    <n v="202203018"/>
    <n v="535500000"/>
    <s v="N/A"/>
    <s v="N/A"/>
    <s v="N/A"/>
    <x v="2"/>
    <s v="JULIO GARCIA"/>
    <d v="2022-07-11T00:00:00"/>
    <n v="-44753"/>
    <n v="-44753"/>
    <s v="SI"/>
    <s v="Entregado al area"/>
    <x v="1"/>
    <m/>
    <m/>
    <d v="2022-07-26T00:00:00"/>
    <s v="Jul"/>
    <m/>
    <n v="15"/>
    <n v="15"/>
    <s v="G"/>
    <s v="FUNCIONAMIENTO"/>
    <s v="500-AO-2023-2022"/>
    <d v="2022-07-19T00:00:00"/>
    <n v="474686280"/>
    <s v="CONFECCIONES ELECTRICAS SAS EN REORGANIZACION"/>
    <m/>
    <n v="60813720"/>
    <m/>
    <m/>
    <m/>
    <m/>
    <m/>
    <m/>
    <m/>
    <s v="UNIDAD DE MANTENIMIENTO"/>
    <n v="0.11356436974789916"/>
    <n v="1"/>
    <n v="1"/>
  </r>
  <r>
    <n v="367"/>
    <s v="0410"/>
    <s v="GUENT"/>
    <d v="2022-07-12T00:00:00"/>
    <x v="7"/>
    <s v="GT0233"/>
    <s v="FR-400-GT-0190-2022"/>
    <s v="N/A"/>
    <s v="Suministro de cubiertas de empalme, materiales de reentradas y accesorios para empalmería de cables multipares con protección de barrera contra humedad (BCH) de uso en la red externa en la operación y mantenimiento de la GUENTIC."/>
    <n v="240328116"/>
    <s v="28 DE NOVIEMBRE DE 2022"/>
    <s v="900-IP-0410-2022"/>
    <m/>
    <n v="202202447"/>
    <m/>
    <s v="N/A"/>
    <s v="N/A"/>
    <s v="N/A"/>
    <x v="2"/>
    <s v="JULIETA ORTIZ"/>
    <d v="2022-07-19T00:00:00"/>
    <e v="#VALUE!"/>
    <e v="#VALUE!"/>
    <s v="SI"/>
    <s v="Entregado al area"/>
    <x v="1"/>
    <s v="26 DE ULIO SE REASIGNA PROCESO A JULIETA, ANTES LO TENIA JULIO GARCIA_x000a_2 DE AGOSTO EN COTIZACIONES, nuevamente no cotizo ningun proveedor"/>
    <s v="Nuevamente no cotizo ningun proveedor, se solicito a Harold Ibarra datos de proveedores. Pendiente en categorizar bien el procesos. Se invitara a Matrix telcom"/>
    <d v="2022-09-13T00:00:00"/>
    <s v="Sep"/>
    <m/>
    <n v="63"/>
    <n v="56"/>
    <s v="G"/>
    <s v="FUNCIONAMIENTO"/>
    <s v="400-AO-2249-2022"/>
    <d v="2022-09-05T00:00:00"/>
    <n v="239138116"/>
    <s v="MATRIX TELCOM LTDA"/>
    <n v="202208345"/>
    <n v="1190000"/>
    <m/>
    <m/>
    <m/>
    <m/>
    <m/>
    <s v="BOGOTA"/>
    <s v="NACIONAL"/>
    <s v="SUBGERENCIA OPERATIVA"/>
    <n v="4.9515638028802258E-3"/>
    <n v="1"/>
    <n v="1"/>
  </r>
  <r>
    <n v="368"/>
    <s v="0411"/>
    <s v="GUENAA"/>
    <d v="2022-07-12T00:00:00"/>
    <x v="7"/>
    <s v="GAA0738"/>
    <s v="FR-300-GAA-0188-2022"/>
    <s v="N/A"/>
    <s v="Suministro e Instalación de Bombas Centrifugas de Accionamiento Magnetico para el sistema SCRUBBER de la PTAP Puerto Mallarino"/>
    <n v="49623000"/>
    <s v="60 DIAS"/>
    <s v="900-IP-0411-2022"/>
    <m/>
    <n v="202204421"/>
    <m/>
    <s v="N/A"/>
    <s v="N/A"/>
    <s v="N/A"/>
    <x v="2"/>
    <s v="JUAN DAVID GOMEZ"/>
    <d v="2022-07-19T00:00:00"/>
    <e v="#VALUE!"/>
    <e v="#VALUE!"/>
    <s v="SI"/>
    <s v="Entregado al area"/>
    <x v="1"/>
    <s v="1 de agosto en solciitud de conceptos_x000a_28 DE SEPTIEMBRE 2022 APROBACION DE POLIZAS"/>
    <s v="SE TIENE QUE REGISTRAR EL PROVEEDOR GANADOR, LA ENRCARGADA ES ELIZA."/>
    <d v="2022-09-29T00:00:00"/>
    <s v="Sep"/>
    <m/>
    <n v="79"/>
    <n v="72"/>
    <s v="G"/>
    <s v="INVERSION"/>
    <s v="300-AO-2340-2022"/>
    <d v="2022-09-15T00:00:00"/>
    <n v="49623000"/>
    <s v="NOVATEC FLUID SYSTEM SA"/>
    <n v="202208532"/>
    <n v="0"/>
    <m/>
    <m/>
    <m/>
    <m/>
    <m/>
    <m/>
    <m/>
    <s v="UNIDAD DE MANTENIMIENTO"/>
    <n v="0"/>
    <n v="1"/>
    <n v="1"/>
  </r>
  <r>
    <n v="369"/>
    <s v="0412"/>
    <s v="GUENAA"/>
    <d v="2022-07-13T00:00:00"/>
    <x v="7"/>
    <s v="GAA0755"/>
    <s v="FR-300-GAA-0190-2022"/>
    <s v="300-CMA-1243-2020"/>
    <s v="Suministro de Cloro, para ser utilizado en el tratamiento de agua potable para consumo humano"/>
    <n v="4194300480"/>
    <s v="16 de enero 2023"/>
    <s v="N/A"/>
    <m/>
    <n v="202203114"/>
    <m/>
    <s v="N/A"/>
    <s v="N/A"/>
    <s v="N/A"/>
    <x v="1"/>
    <s v="AYDEE OVALLE"/>
    <d v="2022-07-17T00:00:00"/>
    <n v="63"/>
    <n v="59"/>
    <s v="SI"/>
    <s v="Entregado al area"/>
    <x v="1"/>
    <s v="18 de julio en elaboracion de la fpa_x000a_2 DE AGOSTO EN ESPRA DE LAS POLIZAS"/>
    <m/>
    <d v="2022-08-04T00:00:00"/>
    <s v="Aug"/>
    <m/>
    <n v="22"/>
    <n v="18"/>
    <s v="N/A"/>
    <s v="OPERACIÓN"/>
    <s v="300-CMA-1243-2020/300-AO-2071-2022"/>
    <d v="2022-07-29T00:00:00"/>
    <n v="4192071840"/>
    <s v="QUIMPAC DE COLOMBIA SA"/>
    <n v="202207329"/>
    <n v="2228640"/>
    <m/>
    <m/>
    <m/>
    <m/>
    <m/>
    <s v="YUMBO"/>
    <s v="MUNICIPAL"/>
    <s v="PRODUCCIÓN DE AGUA POTABLE"/>
    <n v="5.3134962805526033E-4"/>
    <n v="1"/>
    <n v="0"/>
  </r>
  <r>
    <n v="370"/>
    <s v="0413"/>
    <s v="GUENAA"/>
    <d v="2022-07-13T00:00:00"/>
    <x v="7"/>
    <s v="GAA0758"/>
    <s v="FR-300-GAA-0191-2022"/>
    <s v="300-CMA-1241-2020"/>
    <s v="Suministro de Adsorbente para las Plantas de Tratamiento de Agua Potable Puerto Mallarino, Río Cauca y Río Cali: Carbon Activado "/>
    <n v="1012208288"/>
    <s v="31 DE MARZO 2023"/>
    <s v="N/A"/>
    <m/>
    <n v="202203114"/>
    <n v="1012208288"/>
    <s v="N/A"/>
    <s v="N/A"/>
    <s v="N/A"/>
    <x v="1"/>
    <s v="CENELIA CRUZ"/>
    <d v="2022-07-17T00:00:00"/>
    <e v="#VALUE!"/>
    <e v="#VALUE!"/>
    <s v="SI"/>
    <s v="Entregado al area"/>
    <x v="1"/>
    <s v="1 DE AGOSTO ENR EVISION DEL OTRO SI PARA AJUSTAR LOS PRECIOS"/>
    <m/>
    <d v="2022-09-06T00:00:00"/>
    <s v="Sep"/>
    <m/>
    <n v="55"/>
    <n v="51"/>
    <s v="N/A"/>
    <s v="OPERACIÓN"/>
    <s v="300-CMA-1241-2020/300-AO-2145-2022"/>
    <d v="2022-08-12T00:00:00"/>
    <n v="1011189796"/>
    <s v="SULFOQUIMICA SA"/>
    <n v="202207811"/>
    <n v="1018492"/>
    <m/>
    <m/>
    <m/>
    <m/>
    <m/>
    <s v="ITAGUI"/>
    <s v="NACIONAL"/>
    <s v="PRODUCCIÓN DE AGUA POTABLE"/>
    <n v="1.0062079238774223E-3"/>
    <n v="1"/>
    <n v="0"/>
  </r>
  <r>
    <n v="371"/>
    <s v="0414"/>
    <s v="GUENAA"/>
    <d v="2022-07-13T00:00:00"/>
    <x v="7"/>
    <s v="GAA0757"/>
    <s v="FR-300-GAA-0192-2022"/>
    <s v="300-CMA-1246-2020"/>
    <s v="Suministro de Coagulante para las Plantas Río Cauca, Río Cali, La Reforma y L a Rivera: Hidroxicloruro de Aluminio"/>
    <n v="3369600000"/>
    <s v="16 DE ENERO 2023"/>
    <s v="N/A"/>
    <m/>
    <n v="202203114"/>
    <m/>
    <s v="N/A"/>
    <s v="N/A"/>
    <s v="N/A"/>
    <x v="1"/>
    <s v="AYDEE OVALLE"/>
    <d v="2022-07-17T00:00:00"/>
    <n v="-44755"/>
    <n v="-44759"/>
    <s v="SI"/>
    <s v="Entregado al area"/>
    <x v="1"/>
    <s v="18 de julio en aceptacion de oferta"/>
    <m/>
    <d v="2022-07-26T00:00:00"/>
    <s v="Jul"/>
    <m/>
    <n v="13"/>
    <n v="9"/>
    <s v="N/A"/>
    <s v="OPERACIÓN"/>
    <s v="300-CMA-1246-2020/300-AO-2029-2022"/>
    <d v="2022-07-18T00:00:00"/>
    <n v="3369597431"/>
    <s v="QUIMPAC COLOMBIA SA"/>
    <n v="202207154"/>
    <n v="2569"/>
    <m/>
    <m/>
    <m/>
    <m/>
    <m/>
    <s v="YUMBO"/>
    <s v="LOCAL"/>
    <s v="PRODUCCIÓN DE AGUA POTABLE"/>
    <n v="7.6240503323836655E-7"/>
    <n v="1"/>
    <n v="0"/>
  </r>
  <r>
    <n v="372"/>
    <s v="0415"/>
    <s v="GAGHA"/>
    <d v="2022-07-13T00:00:00"/>
    <x v="7"/>
    <s v="GHA0254"/>
    <s v="FR-800-GHA-0148-2022"/>
    <s v="N/A"/>
    <s v="Realizar la compra de papel higiénico rollo x 500 mts, como elemento de aseo necesario para EMCALI EICE ESP"/>
    <n v="29083819"/>
    <s v="28 DE NOVIEMBRE 2022"/>
    <s v="900-IP-0415-2022"/>
    <m/>
    <n v="202203026"/>
    <n v="29120000"/>
    <s v="N/A"/>
    <s v="N/A"/>
    <s v="N/A"/>
    <x v="2"/>
    <s v="JHON LARRY "/>
    <d v="2022-07-18T00:00:00"/>
    <e v="#VALUE!"/>
    <e v="#VALUE!"/>
    <s v="SI"/>
    <s v="Entregado al area"/>
    <x v="1"/>
    <s v="2 DE AGOSTO EN SOLICITUD DE CONCEPTOS. 5 DE AGOSTO EN ELABORACION DE FPA E INVITACION_x000a_18 de agosto en invtitacion a ofertar"/>
    <m/>
    <d v="2022-09-21T00:00:00"/>
    <s v="Sep"/>
    <m/>
    <n v="70"/>
    <n v="65"/>
    <s v="G"/>
    <s v="FUNCIONAMIENTO"/>
    <s v="800-AO-2283-2022"/>
    <d v="2022-09-14T00:00:00"/>
    <n v="21704765"/>
    <s v="DISPAPELES SAS"/>
    <n v="202208415"/>
    <n v="7379054"/>
    <m/>
    <m/>
    <m/>
    <m/>
    <m/>
    <s v="BOGOTA"/>
    <s v="NACIONAL"/>
    <s v="UNIDAD GESTIÓN ADMINISTRATIVA"/>
    <n v="0.25371681758850168"/>
    <n v="0"/>
    <n v="1"/>
  </r>
  <r>
    <n v="373"/>
    <s v="0416"/>
    <s v="GAGHA"/>
    <d v="2022-07-13T00:00:00"/>
    <x v="7"/>
    <s v="GHA0255_x000a_GHA0256_x000a_GHA0257_x000a_GHA0258_x000a_GHA0259_x000a_GHA0260"/>
    <s v="FR-800-GHA-0165-2022"/>
    <s v="N/A"/>
    <s v="Realizar la compra de un (1) Mini Cargador, una (1) Retroexcavadora y una (1) Excavadora, con las condiciones de entrega requeridas por EMCALI EICE ESP, incluyendo el servicio de diez (10) mantenimientos preventivos para cada equipo"/>
    <n v="2619798708"/>
    <m/>
    <s v="900-IP-0416-2022"/>
    <s v="IP-"/>
    <s v="202202875_x000a_202202796_x000a_202204261_x000a_202202797_x000a_202204262_x000a_202202876_x000a_202202795_x000a_202204260_x000a_202202872"/>
    <m/>
    <s v="N/A"/>
    <s v="N/A"/>
    <s v="N/A"/>
    <x v="2"/>
    <s v="PAOLA BELTRAN"/>
    <d v="2022-10-31T00:00:00"/>
    <e v="#VALUE!"/>
    <e v="#VALUE!"/>
    <s v="SI"/>
    <s v="Adjudicacion"/>
    <x v="1"/>
    <d v="2022-11-29T00:00:00"/>
    <s v="5 DE AGOSTO ENTREGADO  REASIGANDO A LAURA PIMIENTA_x000a_28 DE SEPTIEMBRE EN COTIZACIONES_x000a_24-11-2022, En tramite de Emisión de RP y Emisión de Polizas desde el 23 de noviembre de 2022"/>
    <d v="2022-11-28T00:00:00"/>
    <s v="Nov"/>
    <s v="nov"/>
    <n v="138"/>
    <n v="28"/>
    <s v="L"/>
    <s v="FUNCIONAMIENTO"/>
    <s v="800-AO-2420-2022"/>
    <s v="23-11-202"/>
    <n v="2619798708"/>
    <s v="GENERAL DE EQUIPOS DE COLOMBIA S.A GECOLSA "/>
    <s v="AB-2300002903"/>
    <n v="0"/>
    <m/>
    <m/>
    <m/>
    <m/>
    <m/>
    <m/>
    <m/>
    <m/>
    <n v="0"/>
    <n v="0"/>
    <n v="1"/>
  </r>
  <r>
    <n v="374"/>
    <s v="0417"/>
    <s v="GAGHA"/>
    <d v="2022-07-13T00:00:00"/>
    <x v="7"/>
    <s v="GHA0246"/>
    <s v="FR-800-GHA-0171-2022"/>
    <s v="N/A"/>
    <s v="Suministrar insumos para la dotación y redotación de los botiquines ubicados en las sedes, plantas y vehículos del Parque Automotor de EMCALI EICE ESP"/>
    <n v="97226223"/>
    <s v="28 DE NOVIEMBRE 2022"/>
    <s v="900-IP-0417-2022"/>
    <m/>
    <n v="202203963"/>
    <n v="97226223"/>
    <s v="N/A"/>
    <s v="N/A"/>
    <s v="N/A"/>
    <x v="2"/>
    <s v="ANA MARIA GIL"/>
    <d v="2022-08-04T00:00:00"/>
    <n v="63"/>
    <n v="41"/>
    <s v="SI"/>
    <s v="Entregado al area"/>
    <x v="1"/>
    <s v="2 DE AGOSTO EN REVISION DE LA FPA  4 DE AGOSTO EN RECEPCION DE OFERTAS Y REASIGNADO A ANA MARIA GIL 5 DE AGOSTO EN INVITACION A OFERTAR_x000a_18 de agosto en aceptacion de la oferta."/>
    <s v="SE REQUIERE MODIFICAR LA INVITACION"/>
    <d v="2022-08-29T00:00:00"/>
    <s v="Aug"/>
    <m/>
    <n v="47"/>
    <n v="25"/>
    <s v="G"/>
    <s v="FUNCIONAMIENTO"/>
    <s v="800-AO-2161-2022"/>
    <d v="2022-08-16T00:00:00"/>
    <n v="93140500"/>
    <s v="CRUZ ROJA COLOMBIANA SECCIONAL VALLE DEL CAUCA"/>
    <n v="202207950"/>
    <n v="4085723"/>
    <m/>
    <m/>
    <m/>
    <m/>
    <m/>
    <s v="CALI"/>
    <s v="LOCAL"/>
    <s v="UNIDAD SEGURIDAD Y SALUD EN EL TRABAJO"/>
    <n v="4.2022850152268074E-2"/>
    <n v="0"/>
    <n v="1"/>
  </r>
  <r>
    <n v="375"/>
    <s v="0418"/>
    <s v="GUENAA"/>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s v="SI"/>
    <s v="Entregado al area"/>
    <x v="1"/>
    <s v="18 d ejulio esperando concepto de seguros_x000a_2 DE AGOSTO EN ELABORACION DE FPA"/>
    <m/>
    <d v="2022-09-01T00:00:00"/>
    <s v="Oct"/>
    <m/>
    <n v="50"/>
    <n v="50"/>
    <s v="G"/>
    <s v="OPERACIÓN"/>
    <s v="300-AO-2221-2022"/>
    <d v="2022-08-30T00:00:00"/>
    <n v="26256243"/>
    <s v="PROFINAS SOCIEDAD POR ACCIONES SIMPLIFICADA"/>
    <n v="202208018"/>
    <n v="210"/>
    <m/>
    <m/>
    <m/>
    <m/>
    <m/>
    <s v="YUMBO"/>
    <s v="REGIONAL"/>
    <m/>
    <n v="7.9980338547632467E-6"/>
    <n v="1"/>
    <n v="1"/>
  </r>
  <r>
    <n v="376"/>
    <s v="0419"/>
    <s v="GUENAA"/>
    <d v="2022-07-13T00:00:00"/>
    <x v="7"/>
    <s v="GAA0756"/>
    <s v="FR-300-GAA-0193-2022"/>
    <s v="300-CMA-1245-2020"/>
    <s v="Suministro de Coagulante para ser utilizado en el tratamiento de Agua Potable para Consumo Humano"/>
    <n v="4566744000"/>
    <s v="90 DIAS"/>
    <s v="N/A"/>
    <m/>
    <n v="202203114"/>
    <m/>
    <s v="N/A"/>
    <s v="N/A"/>
    <s v="N/A"/>
    <x v="1"/>
    <s v="AYDEE OVALLE"/>
    <d v="2022-07-13T00:00:00"/>
    <n v="63"/>
    <n v="63"/>
    <s v="SI"/>
    <s v="Entregado al area"/>
    <x v="1"/>
    <s v="18 de julio en elaboracion de la fpa_x000a_2 DE AGOSTO EN ACEPTACION DE LA OFERTA"/>
    <m/>
    <d v="2022-08-18T00:00:00"/>
    <s v="Aug"/>
    <m/>
    <n v="36"/>
    <n v="36"/>
    <s v="N/A"/>
    <s v="OPERACIÓN"/>
    <s v="300-CMA-1245-2020/300-AO-2087-2022"/>
    <d v="2022-08-05T00:00:00"/>
    <n v="4566740920"/>
    <s v="QUIMPAC DE COLOMBIA SA"/>
    <n v="202207744"/>
    <n v="3080"/>
    <m/>
    <m/>
    <m/>
    <m/>
    <m/>
    <s v="YUMBO"/>
    <s v="MUNICIPAL"/>
    <s v="PRODUCCIÓN DE AGUA POTABLE"/>
    <n v="6.74441133551607E-7"/>
    <n v="1"/>
    <n v="0"/>
  </r>
  <r>
    <n v="377"/>
    <s v="0420"/>
    <s v="GUENE"/>
    <d v="2022-07-13T00:00:00"/>
    <x v="7"/>
    <s v="GE0232"/>
    <s v="FR-500-GE-0215-2022"/>
    <s v="N/A"/>
    <s v="Grupo 1: Suministro de las Luminarias Led para Sistemas de Alumbrado Público de acuerdo a los diseños Fotométricos detallados por proyecto_x000a_Grupo 2: Suministro de los proyectos Led para Sistemas de Alumbrado Público de acuerdo a los diseños Fotométricos detallados por proyecto"/>
    <n v="17366079000"/>
    <m/>
    <s v="900-IPU-0420-2022"/>
    <s v="IPU"/>
    <n v="202204119"/>
    <m/>
    <s v="N/A"/>
    <s v="N/A"/>
    <s v="N/A"/>
    <x v="0"/>
    <s v="HAROLD MONDRAGON"/>
    <d v="2022-07-18T00:00:00"/>
    <e v="#VALUE!"/>
    <e v="#VALUE!"/>
    <s v="NO"/>
    <s v="Cerrado"/>
    <x v="0"/>
    <m/>
    <s v="1 DE AGOSTO EN ELABORACION DE LA FPA Y CC_x000a_28 D ESEPTIEMBRE PENDIENTE DE ACTA DE CIERRRE EN JURIDICA"/>
    <d v="2022-10-19T00:00:00"/>
    <m/>
    <s v="oct"/>
    <n v="98"/>
    <n v="93"/>
    <m/>
    <s v="FUNCIONAMIENTO"/>
    <m/>
    <m/>
    <m/>
    <m/>
    <m/>
    <m/>
    <m/>
    <m/>
    <m/>
    <m/>
    <m/>
    <m/>
    <m/>
    <m/>
    <m/>
    <n v="1"/>
    <m/>
  </r>
  <r>
    <n v="378"/>
    <s v="0421"/>
    <s v="GUENE"/>
    <d v="2022-07-13T00:00:00"/>
    <x v="7"/>
    <s v="GE0338"/>
    <s v="FR-500-GE-0218-2022"/>
    <s v="N/A"/>
    <s v="Reparación del Equipo de pruebas VLF CR 60"/>
    <n v="61190810"/>
    <s v="1 mes"/>
    <s v="900-IP-0421-2022"/>
    <m/>
    <n v="202205063"/>
    <m/>
    <s v="N/A"/>
    <s v="N/A"/>
    <s v="N/A"/>
    <x v="2"/>
    <s v="JULIO GARCIA"/>
    <d v="2022-08-12T00:00:00"/>
    <n v="63"/>
    <n v="33"/>
    <s v="SI"/>
    <s v="Entregado al area"/>
    <x v="1"/>
    <s v="1 DE AGOSTO EN ELABORACION DE FPA E INVITACION, SE DEMORO PORQUE TUVIERON QUE CAMBIAR EL CDP. 5 DE AGOSTO EN REVISION DE FPA E INVITACION_x000a_12 de agosto en numeracion de la aceptacion, rasignado a Julio garcia porque adalberto se va a vacaciones"/>
    <m/>
    <d v="2022-08-19T00:00:00"/>
    <s v="Aug"/>
    <m/>
    <n v="37"/>
    <n v="7"/>
    <s v="C"/>
    <s v="FUNCIONAMIENTO"/>
    <s v="500-AO-2113-2022"/>
    <d v="2022-08-11T00:00:00"/>
    <n v="61190810"/>
    <s v="NEW PRO SAS"/>
    <n v="202207810"/>
    <n v="0"/>
    <m/>
    <m/>
    <m/>
    <m/>
    <m/>
    <s v="BOGOTA"/>
    <s v="NACIONAL"/>
    <s v="UNIDAD DE MANTENIMIENTO"/>
    <n v="0"/>
    <n v="1"/>
    <n v="1"/>
  </r>
  <r>
    <n v="379"/>
    <s v="0422"/>
    <s v="GUENE"/>
    <d v="2022-07-13T00:00:00"/>
    <x v="7"/>
    <s v="GE0339"/>
    <s v="FR-500-GE-0219-2022"/>
    <s v="N/A"/>
    <s v="Servicios de prueba, diagnóstico y localización puntual de falla en los cables subterráneos que presentan daño de acuerdo con la necesidad de EMCALI EICE ESP"/>
    <n v="47600000"/>
    <s v="31 DE DICIEMBRE 2022"/>
    <s v="900-IP-0422-2022"/>
    <m/>
    <n v="202205064"/>
    <n v="47600000"/>
    <s v="N/A"/>
    <s v="N/A"/>
    <s v="N/A"/>
    <x v="2"/>
    <s v="JHON LARRY "/>
    <d v="2022-07-18T00:00:00"/>
    <e v="#VALUE!"/>
    <e v="#VALUE!"/>
    <s v="SI"/>
    <s v="Entregado al area"/>
    <x v="1"/>
    <s v="2 DE AGOSTO EN SOLICITUD DE CONCEPTOS. 5 DE AGOSTO EN COTIZACION"/>
    <m/>
    <d v="2022-09-21T00:00:00"/>
    <s v="Sep"/>
    <m/>
    <n v="70"/>
    <n v="65"/>
    <s v="B"/>
    <s v="FUNCIONAMIENTO"/>
    <s v="500-AO-2297-2022"/>
    <d v="2022-09-15T00:00:00"/>
    <n v="43693800"/>
    <s v="NEW PRO SAS"/>
    <n v="202208442"/>
    <n v="3906200"/>
    <m/>
    <m/>
    <m/>
    <m/>
    <m/>
    <s v="BOGOTA"/>
    <s v="NACIONAL"/>
    <s v="UNIDAD DE MANTENIMIENTO"/>
    <n v="8.2063025210084031E-2"/>
    <n v="1"/>
    <n v="1"/>
  </r>
  <r>
    <n v="380"/>
    <s v="0423"/>
    <s v="GUENAA"/>
    <d v="2022-07-14T00:00:00"/>
    <x v="7"/>
    <s v="GAA0392"/>
    <s v="FR-300-GAA-0159-2022"/>
    <s v="N/A"/>
    <s v="Realizar los estudios y diseños de ingenieria de detalle del tratamiento secundario de la Planta de Tratamiento de Aguas Residuales de Cañaveralejo - PTAR-C de EMCALI EICE ESP"/>
    <n v="13386733241"/>
    <m/>
    <s v="900-IPU-0423-2022"/>
    <s v="IPU"/>
    <n v="202200781"/>
    <m/>
    <s v="108-202200001"/>
    <m/>
    <s v="N/A"/>
    <x v="0"/>
    <s v="HAROLD MONDRAGON"/>
    <d v="2022-07-18T00:00:00"/>
    <e v="#VALUE!"/>
    <e v="#VALUE!"/>
    <m/>
    <s v="Cerrado"/>
    <x v="0"/>
    <d v="2022-12-09T00:00:00"/>
    <s v="1 DE AGOSTO EN INTELIGENCIA DE MERCADO_x000a_31 de agosto en respuesta a observacones_x000a_29 DE SEPTIEMBRE EN EVALUACION SOBRE 1_x000a_08-11-2022, Pasó a Comie y no fue coadyudado en espera gerente GAE_x000a_30-11-2022, EN ESPERA QUE SECRETARIA DE COMITÉ INFORME SI SE CIERRA O VUELVE A COMITE "/>
    <m/>
    <m/>
    <s v=""/>
    <n v="-44756"/>
    <n v="-44760"/>
    <m/>
    <s v="INVERSION"/>
    <m/>
    <m/>
    <m/>
    <m/>
    <m/>
    <m/>
    <m/>
    <m/>
    <m/>
    <m/>
    <m/>
    <m/>
    <m/>
    <m/>
    <m/>
    <n v="1"/>
    <m/>
  </r>
  <r>
    <n v="381"/>
    <s v="0424"/>
    <s v="GUENAA"/>
    <d v="2022-07-14T00:00:00"/>
    <x v="7"/>
    <s v="GAA0714"/>
    <s v="FR-300-GAA-0161-2022"/>
    <s v="N/A"/>
    <s v="Realizar la interventoría técnica, administrativa, financiera, contable, ambiental, social y jurídica de la consultoría &quot;Estudios y Diseños de ingeniería de detalle del tratamiento secundario de la Planta de Tratamiento de Aguas Residuales de Cañaveralejo PTAR-C de EMCALI EICE ESP"/>
    <n v="1070938659"/>
    <m/>
    <s v="900-IPU-0424-2022"/>
    <s v="IPU"/>
    <n v="202200781"/>
    <m/>
    <s v="108-202200001"/>
    <m/>
    <s v="N/A"/>
    <x v="0"/>
    <s v="HAROLD MONDRAGON"/>
    <d v="2022-07-18T00:00:00"/>
    <e v="#VALUE!"/>
    <e v="#VALUE!"/>
    <m/>
    <s v="Devuelto"/>
    <x v="2"/>
    <d v="2022-11-30T00:00:00"/>
    <s v="1 DE AGOSTO EN INTELIGENCIA DE MERCADO_x000a_28 DE SEPTIEMBRE EN REVISION DE FPA Y CC_x000a_09-11-2022, revision asesora juridica gae CC"/>
    <d v="2022-12-29T00:00:00"/>
    <m/>
    <s v="dic"/>
    <n v="168"/>
    <n v="164"/>
    <m/>
    <s v="INVERSION"/>
    <m/>
    <m/>
    <m/>
    <m/>
    <m/>
    <m/>
    <m/>
    <m/>
    <m/>
    <m/>
    <m/>
    <m/>
    <m/>
    <m/>
    <m/>
    <n v="1"/>
    <m/>
  </r>
  <r>
    <n v="382"/>
    <s v="0425"/>
    <s v="GTI"/>
    <d v="2022-07-14T00:00:00"/>
    <x v="7"/>
    <s v="GTI0188"/>
    <s v="FR-200-GTI-0108-2022"/>
    <s v="N/A"/>
    <s v="Suministrar servicios de consultoría para realizar el análisis de cobertura y cambio de versión del sistema Open Smartflex"/>
    <n v="261252154"/>
    <s v="28 DE DICIEMBRE 2022"/>
    <s v="900-IP-0425-2022"/>
    <m/>
    <n v="202205139"/>
    <n v="261252154"/>
    <s v="N/A"/>
    <s v="N/A"/>
    <s v="N/A"/>
    <x v="2"/>
    <s v="DIEGO PATIÑO"/>
    <d v="2022-07-19T00:00:00"/>
    <e v="#VALUE!"/>
    <e v="#VALUE!"/>
    <s v="SI"/>
    <s v="Entregado al area"/>
    <x v="1"/>
    <s v="4 DE AGOSTO EN ELABROACION DE FPA E INVITACION"/>
    <m/>
    <d v="2022-09-15T00:00:00"/>
    <s v="Sep"/>
    <m/>
    <n v="63"/>
    <n v="58"/>
    <s v="G"/>
    <s v="INVERSION"/>
    <s v="200-AO-2271-2022"/>
    <d v="2022-09-09T00:00:00"/>
    <n v="261252154"/>
    <s v="OPEN INTERNTIONAL SAS"/>
    <m/>
    <n v="0"/>
    <m/>
    <m/>
    <m/>
    <m/>
    <m/>
    <s v="CALI"/>
    <s v="LOCAL"/>
    <s v="UNIDAD DE PROSPECTIVA Y DESARROLLO DE NEGOCIOS"/>
    <n v="0"/>
    <n v="0"/>
    <n v="1"/>
  </r>
  <r>
    <n v="383"/>
    <s v="0426"/>
    <s v="GUENAA"/>
    <d v="2022-07-15T00:00:00"/>
    <x v="7"/>
    <s v="PENDIENTE"/>
    <s v="FR-300-GAA-0142-2022"/>
    <s v="N/A"/>
    <s v="Suministro de elementos eléctricos para todas las estaciones de bombeo de aguas lluvias y/o residuales"/>
    <n v="62022081"/>
    <s v="2 MESES"/>
    <s v="900-IP-0426-2022"/>
    <m/>
    <n v="202201836"/>
    <n v="69554145"/>
    <s v="N/A"/>
    <s v="N/A"/>
    <s v="N/A"/>
    <x v="2"/>
    <s v="LINA ECHAVARRIA"/>
    <d v="2022-07-15T00:00:00"/>
    <e v="#VALUE!"/>
    <e v="#VALUE!"/>
    <s v="SI"/>
    <s v="Entregado al area"/>
    <x v="1"/>
    <s v="1 DE AGOSTO EN COTIZACIONES"/>
    <m/>
    <d v="2022-09-22T00:00:00"/>
    <s v="Sep"/>
    <m/>
    <n v="69"/>
    <n v="69"/>
    <s v="B"/>
    <s v="FUNCIONAMIENTO"/>
    <s v="300-AO-2282-2022"/>
    <d v="2022-09-13T00:00:00"/>
    <n v="62017508"/>
    <s v="EPRING SAS"/>
    <n v="202208577"/>
    <n v="4573"/>
    <m/>
    <m/>
    <m/>
    <m/>
    <m/>
    <s v="CALI"/>
    <s v="LOCAL"/>
    <s v="UNIDAD DE BOMBEO"/>
    <n v="7.3731805290441646E-5"/>
    <n v="1"/>
    <n v="1"/>
  </r>
  <r>
    <n v="384"/>
    <s v="0427"/>
    <s v="GUENE"/>
    <d v="2022-07-15T00:00:00"/>
    <x v="7"/>
    <s v="GE0242"/>
    <s v="FR-500-GE-0208-2022"/>
    <s v="N/A"/>
    <s v="Suministro DDP de Equipos de prueba y localización de falla en cables aislados o subterraneos de media tensión, incluido el suministro del vehículo con las adecuaciones necesarias para la instalación de los equipos y elementos de prueba, localización y complementarios"/>
    <n v="1300000000"/>
    <s v="28 DE NOVIEMBRE 2022"/>
    <s v="900-IPU-0427-2022"/>
    <m/>
    <n v="202204406"/>
    <n v="1300000000"/>
    <s v="N/A"/>
    <s v="N/A"/>
    <s v="N/A"/>
    <x v="0"/>
    <s v="PAOLA BELTRAN"/>
    <d v="2022-07-18T00:00:00"/>
    <e v="#VALUE!"/>
    <e v="#VALUE!"/>
    <s v="SI"/>
    <s v="Entregado al area"/>
    <x v="1"/>
    <s v="1 DE AGOSTO EN ELABORACION DE LA CC"/>
    <m/>
    <d v="2022-09-19T00:00:00"/>
    <s v="Sep"/>
    <m/>
    <n v="66"/>
    <n v="63"/>
    <s v="N/A"/>
    <s v="INVERSION"/>
    <s v="500-AO-2322-2022"/>
    <d v="2022-09-15T00:00:00"/>
    <n v="1299859708"/>
    <s v="NEW PRO SAS"/>
    <n v="202208491"/>
    <n v="140292"/>
    <m/>
    <m/>
    <m/>
    <m/>
    <m/>
    <s v="BOGOTA"/>
    <s v="NACIONAL"/>
    <s v="UNIDAD DE MANTENIMIENTO"/>
    <n v="1.0791692307692307E-4"/>
    <n v="1"/>
    <n v="2"/>
  </r>
  <r>
    <n v="385"/>
    <s v="0428"/>
    <s v="GUENAA"/>
    <d v="2022-07-18T00:00:00"/>
    <x v="7"/>
    <s v="PENDINETE"/>
    <s v="FR-300-GAA-0137-2022"/>
    <s v="N/A"/>
    <s v="Mantenimiento y Calibración sistemas de Pesaje Plantas de Tratamiento de Agua Potable"/>
    <n v="29720250"/>
    <s v="28 DE NOVIEMBRE 2022"/>
    <s v="900-IP-0428-2022"/>
    <m/>
    <n v="202200893"/>
    <n v="30000000"/>
    <s v="N/A"/>
    <s v="N/A"/>
    <s v="N/A"/>
    <x v="2"/>
    <s v="JHON LARRY "/>
    <d v="2022-07-18T00:00:00"/>
    <e v="#VALUE!"/>
    <e v="#VALUE!"/>
    <s v="SI"/>
    <s v="Entregado al area"/>
    <x v="1"/>
    <s v="5 DE AGOSTO EN REVISION DE LA FPA POR SILVIA"/>
    <m/>
    <d v="2022-09-13T00:00:00"/>
    <s v="Sep"/>
    <m/>
    <n v="57"/>
    <n v="57"/>
    <s v="G"/>
    <s v="FUNCIONAMIENTO"/>
    <s v="300-AO-2241-2022"/>
    <d v="2022-09-02T00:00:00"/>
    <n v="29720250"/>
    <s v="WEIGHING SYSTEMS SOLUTIONS WSS LTDA"/>
    <n v="202208289"/>
    <n v="0"/>
    <m/>
    <m/>
    <m/>
    <m/>
    <m/>
    <s v="CALI"/>
    <s v="LOCAL"/>
    <s v="UNIDAD DE MANTENIMIENTO"/>
    <n v="0"/>
    <n v="1"/>
    <n v="1"/>
  </r>
  <r>
    <n v="386"/>
    <s v="0429"/>
    <s v="GUENAA"/>
    <d v="2022-07-18T00:00:00"/>
    <x v="7"/>
    <s v="GAA0762"/>
    <s v="FR-300-GAA-0096-2022"/>
    <s v="N/A"/>
    <s v="Servicios de asesoría para control de parámetros de seguimiento al plan de manejo ambiental - PMA de la Planta de Tratamiento de Aguas Residuales de Cañaveralejo - PTAR C DE EMCALI EICE ESP"/>
    <n v="357050595"/>
    <n v="309233400"/>
    <s v="900-IP-0429-2022"/>
    <m/>
    <n v="202202753"/>
    <n v="495000000"/>
    <s v="N/A"/>
    <s v="N/A"/>
    <s v="N/A"/>
    <x v="2"/>
    <s v="PAOLA BELTRAN"/>
    <d v="2022-08-05T00:00:00"/>
    <e v="#VALUE!"/>
    <e v="#VALUE!"/>
    <s v="SI"/>
    <s v="Entregado al area"/>
    <x v="1"/>
    <s v="2 DE AGOSTO SE ASIGNARA A OTRO GESTOR 4 DE AGOSTO REASIGNADO A PAOLA BELTRAN"/>
    <m/>
    <d v="2022-09-20T00:00:00"/>
    <s v="Sep"/>
    <m/>
    <n v="64"/>
    <n v="46"/>
    <s v="G"/>
    <s v="FUNCIONAMIENTO"/>
    <s v="300-AO-2296-2022"/>
    <d v="2022-09-13T00:00:00"/>
    <n v="309233400"/>
    <s v="AG CONSULTORES AMBIENTALES SAS"/>
    <m/>
    <n v="47817195"/>
    <m/>
    <m/>
    <m/>
    <m/>
    <m/>
    <m/>
    <m/>
    <s v="UNIDAD DE TRATAMIENTO"/>
    <n v="0.13392274279783795"/>
    <n v="1"/>
    <n v="1"/>
  </r>
  <r>
    <n v="387"/>
    <s v="0430"/>
    <s v="GAGHA"/>
    <d v="2022-07-18T00:00:00"/>
    <x v="7"/>
    <s v="GHA0233_x000a_GHA0234_x000a_GHA0250_x000a_GHA0251_x000a_GHA0252_x000a_GHA0253"/>
    <s v="FR-800-GHA-0150-2022"/>
    <s v="N/A"/>
    <s v="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
    <n v="1064136000"/>
    <m/>
    <s v="900-IP-0430-2022"/>
    <s v="IP-"/>
    <s v="202202129_x000a_202203021"/>
    <m/>
    <s v="N/A"/>
    <s v="N/A"/>
    <s v="N/A"/>
    <x v="2"/>
    <s v="LAURA PIMIENTA"/>
    <d v="2022-08-03T00:00:00"/>
    <e v="#VALUE!"/>
    <e v="#VALUE!"/>
    <s v="NO"/>
    <s v="Devuelto"/>
    <x v="2"/>
    <m/>
    <s v="3 de agosto reasignado a laura pimienta_x000a_SE DEVUELVE AL AREA POR AJUSTE DE PRESUPUESTO "/>
    <d v="2022-09-15T00:00:00"/>
    <m/>
    <s v="sep"/>
    <n v="59"/>
    <n v="43"/>
    <s v="B"/>
    <s v="FUNCIONAMIENTO"/>
    <m/>
    <m/>
    <m/>
    <m/>
    <m/>
    <m/>
    <m/>
    <m/>
    <m/>
    <m/>
    <m/>
    <m/>
    <m/>
    <m/>
    <m/>
    <n v="0"/>
    <m/>
  </r>
  <r>
    <n v="388"/>
    <s v="0431"/>
    <s v="GAGHA"/>
    <d v="2022-07-18T00:00:00"/>
    <x v="7"/>
    <s v="GHA0265"/>
    <s v="FR-800-GHA-0181-2022"/>
    <s v="N/A"/>
    <s v="Garantizar el suministro de repuestos requeridos para llevar a cabo mantenimientos correctivos y/o preventivos a los equipos de Presión - Succión que hacen parte del Parque Automotor de EMCALI EICE ESP."/>
    <n v="1691000000"/>
    <s v="28DE NOVIEMBRE 2022"/>
    <s v="900-IP-0431-2022"/>
    <m/>
    <s v="202204141_x000a_202204548"/>
    <m/>
    <s v="N/A"/>
    <s v="N/A"/>
    <s v="N/A"/>
    <x v="2"/>
    <s v="LAURA PIMIENTA"/>
    <d v="2022-07-19T00:00:00"/>
    <e v="#VALUE!"/>
    <e v="#VALUE!"/>
    <s v="SI"/>
    <s v="Entregado al area"/>
    <x v="1"/>
    <s v="3 de agosto reasignado a laura pimienta"/>
    <m/>
    <d v="2022-09-21T00:00:00"/>
    <s v="Sep"/>
    <m/>
    <n v="65"/>
    <n v="64"/>
    <s v="C"/>
    <s v="FUNCIONAMIENTO"/>
    <s v="800-AO-2321-2022"/>
    <d v="2022-09-15T00:00:00"/>
    <n v="1691000000"/>
    <s v="SERVICIOS TECNICOS DE INGENIERIA LTDA SETINGE LTDA"/>
    <n v="202208490"/>
    <n v="0"/>
    <m/>
    <m/>
    <m/>
    <m/>
    <m/>
    <m/>
    <m/>
    <s v="UNIDAD GESTIÓN ADMINISTRATIVA"/>
    <n v="0"/>
    <n v="0"/>
    <n v="1"/>
  </r>
  <r>
    <n v="389"/>
    <s v="0432"/>
    <s v="GAGHA"/>
    <d v="2022-07-18T00:00:00"/>
    <x v="7"/>
    <s v="GHA0266_x000a_GHA0267"/>
    <s v="FR-800-GHA-0184-2022"/>
    <s v="N/A"/>
    <s v="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
    <n v="19602280"/>
    <s v="28 DE NOVIEMBRE 2022"/>
    <s v="900-IP-0432-2022"/>
    <m/>
    <s v="202202894_x000a_202204455"/>
    <m/>
    <s v="N/A"/>
    <s v="N/A"/>
    <s v="N/A"/>
    <x v="2"/>
    <s v="LAURA PIMIENTA"/>
    <d v="2022-07-19T00:00:00"/>
    <n v="113"/>
    <n v="112"/>
    <s v="SI"/>
    <s v="Entregado al area"/>
    <x v="1"/>
    <s v="3 de agosto reasignado a laura pimienta_x000a_28 DE SEPTIEMBRE EN SOLICITUD DE POLIZAS POR PARTE DEL PROVEEDOR"/>
    <m/>
    <d v="2022-10-06T00:00:00"/>
    <s v="Oct"/>
    <n v="80"/>
    <m/>
    <n v="79"/>
    <s v="G"/>
    <s v="FUNCIONAMIENTO"/>
    <s v="800-AO-2377-2022"/>
    <d v="2022-09-15T00:00:00"/>
    <n v="19400000"/>
    <s v="ZAGAMOTOS DEL PACIFICO SAS"/>
    <n v="202208531"/>
    <n v="202280"/>
    <s v="CALI"/>
    <s v="LOCAL"/>
    <m/>
    <m/>
    <m/>
    <m/>
    <m/>
    <m/>
    <n v="1.0319207765627263E-2"/>
    <n v="0"/>
    <n v="1"/>
  </r>
  <r>
    <n v="390"/>
    <s v="0433"/>
    <s v="GUENT"/>
    <d v="2022-07-18T00:00:00"/>
    <x v="7"/>
    <s v="GT0153"/>
    <s v="FR-400-GT-0177-2022"/>
    <s v="N/A"/>
    <s v="Soporte técnico y mantenimiento medidor marca PROMAX, modelo HD Ranger 2"/>
    <n v="3451000"/>
    <s v="28 DE NOVIEMBRE 2022"/>
    <s v="900-IP-0433-2022"/>
    <m/>
    <n v="202205066"/>
    <n v="3451000"/>
    <s v="N/A"/>
    <s v="N/A"/>
    <s v="N/A"/>
    <x v="2"/>
    <s v="JHON LARRY "/>
    <d v="2022-07-21T00:00:00"/>
    <n v="113"/>
    <n v="110"/>
    <s v="SI"/>
    <s v="Entregado al area"/>
    <x v="1"/>
    <s v="2 DE AGOSTO EN SOLICITUD DE CONCEPTOS. 5 DE AGOSTO EN COTIZACION. SE SACARA POR LITERAL G."/>
    <m/>
    <d v="2022-10-12T00:00:00"/>
    <s v="Oct"/>
    <n v="86"/>
    <m/>
    <n v="83"/>
    <s v="G"/>
    <s v="FUNCIONAMIENTO"/>
    <s v="400-AO-2220-2022"/>
    <d v="2022-08-30T00:00:00"/>
    <n v="3451000"/>
    <s v="RF LABS GRUPO TECNOLOGICO"/>
    <n v="202208014"/>
    <n v="0"/>
    <s v="BOGOTA "/>
    <s v="NACIONAL"/>
    <m/>
    <m/>
    <m/>
    <m/>
    <m/>
    <m/>
    <n v="0"/>
    <n v="1"/>
    <n v="1"/>
  </r>
  <r>
    <n v="391"/>
    <s v="0434"/>
    <s v="GUENTIC"/>
    <d v="2022-07-18T00:00:00"/>
    <x v="7"/>
    <s v="GT0164"/>
    <s v="FR-400-GT-0178-2022"/>
    <s v="N/A"/>
    <s v="Soporte técnico requerido para la operación, administración y manejo de la plataforma, incluyendo transferencia de conocimiento hacia el personal encargado de Zabbix en EMCALI EICE ESP"/>
    <n v="129108545"/>
    <m/>
    <s v="900-IP-0434-2022"/>
    <s v="IP-"/>
    <n v="202205066"/>
    <m/>
    <s v="N/A"/>
    <s v="N/A"/>
    <s v="N/A"/>
    <x v="2"/>
    <s v="JULIETA ORTIZ"/>
    <d v="2022-07-19T00:00:00"/>
    <e v="#VALUE!"/>
    <e v="#VALUE!"/>
    <s v="NO"/>
    <s v="Devuelto"/>
    <x v="2"/>
    <m/>
    <s v="2 DE AGOSTO EN COTIZACIONES"/>
    <d v="2022-12-05T00:00:00"/>
    <m/>
    <s v="dic"/>
    <n v="140"/>
    <n v="139"/>
    <m/>
    <s v="FUNCIONAMIENTO"/>
    <m/>
    <m/>
    <m/>
    <m/>
    <m/>
    <m/>
    <m/>
    <m/>
    <m/>
    <m/>
    <m/>
    <m/>
    <m/>
    <m/>
    <m/>
    <n v="0"/>
    <m/>
  </r>
  <r>
    <n v="392"/>
    <s v="0435"/>
    <s v="GAGHA"/>
    <d v="2022-07-19T00:00:00"/>
    <x v="7"/>
    <s v="GHA0270_x000a_GHA0271_x000a_GHA0277_x000a_GHA0278"/>
    <s v="FR-800-GHA-0132-2022_x000a_FR-800-GHA-0142-2022"/>
    <s v="N/A"/>
    <s v="Realizar la compra de dos (2) camperos/Suv 4x4, 3 o 5 puertas, incluyendo el servicio de diez (10) mantenimientos preventivos para cada vehículo, con las adecuaciones requeridas por EMCALI EICE ESP_x000a_Realizar la compra de un (1) vehículo SUV 4X4 de 5 puertas; incluyendo el servicio de Diez (10) mantenimientos preventivos para el vehículo, con las adecuaciones requeridas por EMCALI EICE ESP"/>
    <n v="226560000"/>
    <s v="28 DE NOVIEMBRE 2022"/>
    <s v="900-IP-0435-2022"/>
    <m/>
    <s v="202201759_x000a_202202081_x000a_202202682_x000a_202202679"/>
    <n v="226560000"/>
    <s v="N/A"/>
    <s v="N/A"/>
    <s v="N/A"/>
    <x v="2"/>
    <s v="LAURA PIMIENTA"/>
    <d v="2022-07-19T00:00:00"/>
    <n v="112"/>
    <n v="112"/>
    <s v="SI"/>
    <s v="Entregado al area"/>
    <x v="1"/>
    <s v="3 DE AGOSTO EN ESPERA DE LA COTIZACION DE LA SUB_x000a_28 DE SPETIEMBRE A LA ESPERA DE LAS POLIZAS"/>
    <m/>
    <d v="2022-10-24T00:00:00"/>
    <s v="Oct"/>
    <n v="97"/>
    <m/>
    <n v="97"/>
    <s v="L"/>
    <s v="FUNCIONAMIENTO"/>
    <s v="800-AO-2227-2022"/>
    <d v="2022-09-15T00:00:00"/>
    <n v="226014074"/>
    <s v="COLEGAS SAS"/>
    <n v="202208493"/>
    <n v="545926"/>
    <s v="CALI"/>
    <s v="LOCAL"/>
    <m/>
    <m/>
    <m/>
    <m/>
    <m/>
    <m/>
    <n v="2.4096310028248586E-3"/>
    <n v="0"/>
    <n v="1"/>
  </r>
  <r>
    <n v="393"/>
    <s v="0436"/>
    <s v="GUENE"/>
    <d v="2022-07-21T00:00:00"/>
    <x v="7"/>
    <s v="PENDIENTE"/>
    <s v="FR-500-GE-0197-2022"/>
    <s v="N/A"/>
    <s v="Suministro de Medidores de Energía Electronicos para Medida Directa"/>
    <n v="470442700"/>
    <s v="28 de noviembre 2022"/>
    <s v="900-IP-0436-2022"/>
    <m/>
    <n v="202203902"/>
    <m/>
    <s v="N/A"/>
    <s v="N/A"/>
    <s v="N/A"/>
    <x v="2"/>
    <s v="LINA ECHAVARRIA"/>
    <d v="2022-07-19T00:00:00"/>
    <e v="#VALUE!"/>
    <e v="#VALUE!"/>
    <s v="SI"/>
    <s v="Entregado al area"/>
    <x v="1"/>
    <s v="1 DE AGOSTO EN EVALUACION DE LA OFERTA"/>
    <m/>
    <d v="2022-08-29T00:00:00"/>
    <s v="Sep"/>
    <m/>
    <n v="39"/>
    <n v="41"/>
    <s v="B"/>
    <s v="OPERACIÓN"/>
    <s v="500-AO-2198-2022"/>
    <d v="2022-08-27T00:00:00"/>
    <n v="344778700"/>
    <s v="RYMEL  INGENIERIA ELECTRICA SAS"/>
    <n v="202207903"/>
    <n v="125664000"/>
    <m/>
    <m/>
    <m/>
    <m/>
    <m/>
    <s v="CALI"/>
    <s v="LOCAL"/>
    <s v="UNIDAD DE CONTROL DE ENERGÍA"/>
    <n v="0.26711860976905372"/>
    <n v="1"/>
    <n v="1"/>
  </r>
  <r>
    <n v="394"/>
    <s v="0437"/>
    <s v="GUENAA"/>
    <d v="2022-07-21T00:00:00"/>
    <x v="7"/>
    <s v="PENDIENTE"/>
    <s v="FR-300-GAA-0122-2022"/>
    <s v="N/A"/>
    <s v="Suministro e instalación de generador Planta Puerto Mallarino"/>
    <n v="589996150"/>
    <s v="45 DIAS"/>
    <s v="900-IP-0437-2022"/>
    <m/>
    <n v="202202190"/>
    <m/>
    <s v="N/A"/>
    <s v="N/A"/>
    <s v="N/A"/>
    <x v="2"/>
    <s v="LINA ECHAVARRIA"/>
    <d v="2022-07-21T00:00:00"/>
    <n v="55"/>
    <n v="55"/>
    <s v="SI"/>
    <s v="Entregado al area"/>
    <x v="1"/>
    <s v="1 DE AGOSTO EN EVALUACION DE LA OFERTA"/>
    <m/>
    <d v="2022-08-19T00:00:00"/>
    <s v="Aug"/>
    <m/>
    <n v="29"/>
    <n v="29"/>
    <s v="B"/>
    <s v="INVERSION"/>
    <s v="300-AO-2103-2022"/>
    <d v="2022-08-11T00:00:00"/>
    <n v="589750704"/>
    <s v="STEWART &amp; STEVENSON DE LAS AMERICAS COLOMBIA LTDA"/>
    <n v="202207759"/>
    <n v="245446"/>
    <m/>
    <m/>
    <m/>
    <m/>
    <m/>
    <s v="YUMBO"/>
    <s v="MUNICIPAL"/>
    <s v="UNIDAD DE MANTENIMIENTO"/>
    <n v="4.1601288415187118E-4"/>
    <n v="1"/>
    <n v="1"/>
  </r>
  <r>
    <n v="395"/>
    <s v="0438"/>
    <s v="GUENTIC"/>
    <d v="2022-07-21T00:00:00"/>
    <x v="7"/>
    <s v="GT0162"/>
    <s v="FR-400-GT-0193-2022"/>
    <s v="N/A"/>
    <s v="Mantenimiento preventivo de las antenas de televisión que hacen parte del sistema de adquisición de señal satelital de canales nacionales e internacionales."/>
    <n v="36000000"/>
    <m/>
    <s v="900-IP-0438-2022"/>
    <s v="IP-"/>
    <n v="202205131"/>
    <m/>
    <s v="N/A"/>
    <s v="N/A"/>
    <s v="N/A"/>
    <x v="2"/>
    <s v="JUAN DAVID GOMEZ"/>
    <d v="2022-07-27T00:00:00"/>
    <e v="#VALUE!"/>
    <e v="#VALUE!"/>
    <s v="NO"/>
    <s v="Devuelto"/>
    <x v="2"/>
    <d v="2022-11-16T00:00:00"/>
    <s v="1 de agosto en solciitud de conceptos. 5 DE AGOSTO EN SOLICITUD DE CONCEPTOS._x000a_28 DE SEPTIEMBRE EN COTIZACIONES_x000a_EL PROVEEDOR NO ALCANZA A EJECUTAR EL CONTRATO "/>
    <d v="2022-11-18T00:00:00"/>
    <m/>
    <s v="nov"/>
    <n v="120"/>
    <n v="114"/>
    <m/>
    <s v="FUNCIONAMIENTO"/>
    <m/>
    <m/>
    <m/>
    <m/>
    <m/>
    <m/>
    <m/>
    <m/>
    <m/>
    <m/>
    <m/>
    <m/>
    <m/>
    <m/>
    <m/>
    <n v="0"/>
    <m/>
  </r>
  <r>
    <n v="396"/>
    <s v="0439"/>
    <s v="GUENAA"/>
    <d v="2022-07-21T00:00:00"/>
    <x v="7"/>
    <s v="GAA0745"/>
    <s v="FR-300-GAA-0194-2022"/>
    <s v="N/A"/>
    <s v="Compra de equipos de Malacate (cabrestante) mecánico con motor Diesel para Desazolve y/o limpieza de Alcantarillas mediante balde metálico (cuchara de almeja)."/>
    <n v="804190483"/>
    <m/>
    <s v="900-IPU-0439-2022"/>
    <s v="IPU"/>
    <s v="202202789_x000a_202204263"/>
    <m/>
    <s v="N/A"/>
    <s v="N/A"/>
    <s v="N/A"/>
    <x v="0"/>
    <s v="LINA ECHAVARRIA"/>
    <d v="2022-07-27T00:00:00"/>
    <e v="#VALUE!"/>
    <e v="#VALUE!"/>
    <s v="NO"/>
    <s v="Devuelto"/>
    <x v="2"/>
    <m/>
    <s v="1 DE AGOSTO SOLICITUD DE CONCEPTOS"/>
    <d v="2022-09-15T00:00:00"/>
    <m/>
    <s v="sep"/>
    <n v="56"/>
    <n v="50"/>
    <s v="G"/>
    <s v="FUNCIONAMIENTO"/>
    <m/>
    <m/>
    <m/>
    <m/>
    <m/>
    <m/>
    <m/>
    <m/>
    <m/>
    <m/>
    <m/>
    <m/>
    <m/>
    <m/>
    <m/>
    <n v="1"/>
    <m/>
  </r>
  <r>
    <n v="397"/>
    <s v="0440"/>
    <s v="GUENAA"/>
    <d v="2022-07-21T00:00:00"/>
    <x v="7"/>
    <s v="N/A"/>
    <s v="FR-300-GAA-0196-2022"/>
    <s v="N/A"/>
    <s v="Suministrar de elementos o materiales de ferretería."/>
    <s v="N/A"/>
    <m/>
    <m/>
    <s v=""/>
    <s v="N/A"/>
    <m/>
    <s v="N/A"/>
    <s v="N/A"/>
    <s v="N/A"/>
    <x v="3"/>
    <s v="SIN ASIGNAR"/>
    <m/>
    <e v="#VALUE!"/>
    <e v="#VALUE!"/>
    <m/>
    <s v="Inicio Proceso"/>
    <x v="2"/>
    <m/>
    <s v="LA UENAA RADICO EL PROCESO PERO NO SE ENCONTRO LA CARPETA"/>
    <m/>
    <m/>
    <s v=""/>
    <n v="-44763"/>
    <n v="0"/>
    <m/>
    <s v="FUNCIONAMIENTO"/>
    <m/>
    <m/>
    <m/>
    <m/>
    <m/>
    <m/>
    <m/>
    <m/>
    <m/>
    <m/>
    <m/>
    <m/>
    <m/>
    <m/>
    <m/>
    <n v="1"/>
    <m/>
  </r>
  <r>
    <n v="398"/>
    <s v="0441"/>
    <s v="GUENAA"/>
    <d v="2022-07-21T00:00:00"/>
    <x v="7"/>
    <s v="N/A"/>
    <s v="FR-300-GAA-0199-2022"/>
    <s v="N/A"/>
    <s v="Obras civiles y mecánicas para construcción muro de concreto y optimización descarga Estación de Bombeo Guaduales."/>
    <n v="5802473868"/>
    <m/>
    <s v="900-IPU-0441-2022"/>
    <s v="IPU"/>
    <m/>
    <m/>
    <s v="N/A"/>
    <s v="N/A"/>
    <s v="N/A"/>
    <x v="0"/>
    <s v="HAROLD MONDRAGON"/>
    <d v="2022-08-02T00:00:00"/>
    <e v="#VALUE!"/>
    <e v="#VALUE!"/>
    <m/>
    <s v="ELABORACION OFICIO DEVOLUCION "/>
    <x v="2"/>
    <d v="2022-11-30T00:00:00"/>
    <s v="28 DE SEPTIEMBRE EN ELABORACION DE FPA Y CC_x000a_08-11-2022, Proceso que sale en lista de precalificados por segmentos, en revision juridica GAE_x000a_18-11-2022, esta en revision juridica GAE y sale por lista de precalificados, espera info del area si contamos con recursos del fonfo de adaptacion._x000a_24-11-2022, POR INSTRUCCIÓN ASESORES GERENCIA GENERAL PROCESOS QUE NO SE VAN A TRAMITAR HASTA QUE AREA ENTREGUE VF, PROCESOS PARA DEVOLUCION AL AEREA"/>
    <d v="2022-11-30T00:00:00"/>
    <m/>
    <s v="nov"/>
    <n v="132"/>
    <n v="120"/>
    <m/>
    <s v="INVERSION"/>
    <m/>
    <m/>
    <m/>
    <m/>
    <m/>
    <m/>
    <m/>
    <m/>
    <m/>
    <m/>
    <m/>
    <m/>
    <m/>
    <m/>
    <m/>
    <n v="1"/>
    <m/>
  </r>
  <r>
    <n v="399"/>
    <s v="0442"/>
    <s v="GUENAA"/>
    <d v="2022-07-21T00:00:00"/>
    <x v="7"/>
    <s v="N/A"/>
    <s v="FR-300-GAA-0200-2022"/>
    <s v="N/A"/>
    <s v="Realizar la interventoría técnica, administrativa, financiera y legal del concreto que surja del proceso, cuyo objeto es realizar la construcción de las obras civiles y mecánicas para construcción de muro de concreto, y optimización descarga Estación de Bombeo Guaduales."/>
    <n v="650432580"/>
    <m/>
    <s v="900-IPU-0442-2022"/>
    <s v="IPU"/>
    <s v="N/A"/>
    <m/>
    <s v="N/A"/>
    <s v="N/A"/>
    <s v="N/A"/>
    <x v="0"/>
    <s v="HAROLD MONDRAGON"/>
    <d v="2022-08-02T00:00:00"/>
    <e v="#VALUE!"/>
    <e v="#VALUE!"/>
    <m/>
    <s v="ELABORACION OFICIO DEVOLUCION "/>
    <x v="2"/>
    <d v="2022-11-30T00:00:00"/>
    <s v="28 DE SEPTIEMBRE EN ELABORACION DE FPA Y CC_x000a_10-11-2022, proceso se entrega para revision FPA Y CC por motivo del levantameinto de suspension contratacion_x000a_24-11-2022, POR INSTRUCCIÓN ASESORES GERENCIA GENERAL PROCESOS QUE NO SE VAN A TRAMITAR HASTA QUE AREA ENTREGUE VF, PROCESOS PARA DEVOLUCION AL AEREA "/>
    <d v="2022-11-30T00:00:00"/>
    <m/>
    <s v="nov"/>
    <n v="132"/>
    <n v="120"/>
    <m/>
    <s v="INVERSION"/>
    <m/>
    <m/>
    <m/>
    <m/>
    <m/>
    <m/>
    <m/>
    <m/>
    <m/>
    <m/>
    <m/>
    <m/>
    <m/>
    <m/>
    <m/>
    <n v="1"/>
    <m/>
  </r>
  <r>
    <n v="400"/>
    <s v="0443"/>
    <s v="GUENAA"/>
    <d v="2022-07-21T00:00:00"/>
    <x v="7"/>
    <s v="N/A"/>
    <s v="FR-300-GAA-0201-2022"/>
    <s v="N/A"/>
    <s v="Diseños alcantarillado tramos solicitados por área operativa Grupo 2."/>
    <n v="700000000"/>
    <m/>
    <s v="900-IPU-0443-2022"/>
    <s v="IPU"/>
    <s v="N/A"/>
    <m/>
    <s v="N/A"/>
    <s v="N/A"/>
    <s v="N/A"/>
    <x v="0"/>
    <s v="HAROLD MONDRAGON"/>
    <d v="2022-08-03T00:00:00"/>
    <e v="#VALUE!"/>
    <e v="#VALUE!"/>
    <m/>
    <s v="ELABORACION OFICIO DEVOLUCION "/>
    <x v="2"/>
    <d v="2022-11-30T00:00:00"/>
    <s v="28 DE SEPTIEMBRE EN ELABORACION DE FPA Y CC_x000a_10-11-2022, proceso se entrega para revision FPA Y CC por motivo del levantameinto de suspension contratacion _x000a_18-11-2022, en revision sale por lista de precalificados_x000a_24-11-2022, POR INSTRUCCIÓN ASESORES GERENCIA GENERAL PROCESOS QUE NO SE VAN A TRAMITAR HASTA QUE AREA ENTREGUE VF, PROCESOS PARA DEVOLUCION AL AEREA"/>
    <d v="2022-11-30T00:00:00"/>
    <m/>
    <s v="nov"/>
    <n v="132"/>
    <n v="119"/>
    <m/>
    <s v="INVERSION"/>
    <m/>
    <m/>
    <m/>
    <m/>
    <m/>
    <m/>
    <m/>
    <m/>
    <m/>
    <m/>
    <m/>
    <m/>
    <m/>
    <m/>
    <m/>
    <n v="1"/>
    <m/>
  </r>
  <r>
    <n v="401"/>
    <s v="0444"/>
    <s v="GUENAA"/>
    <d v="2022-07-21T00:00:00"/>
    <x v="7"/>
    <s v="N/A"/>
    <s v="FR-300-GAA-0202-2022"/>
    <s v="N/A"/>
    <s v="Consultoría para adelantar investigación con circuito cerrado de televisión (CCTV) y evaluación de interceptores y colectores secundarios sanitarios y combinados en sistema de drenaje de la Ciudad de Cali."/>
    <n v="1000000000"/>
    <m/>
    <s v="900-IPU-0444-2022"/>
    <s v="IPU"/>
    <s v="N/A"/>
    <m/>
    <s v="N/A"/>
    <s v="N/A"/>
    <s v="N/A"/>
    <x v="0"/>
    <s v="HAROLD MONDRAGON"/>
    <d v="2022-08-03T00:00:00"/>
    <e v="#VALUE!"/>
    <e v="#VALUE!"/>
    <m/>
    <s v="ELABORACION OFICIO DEVOLUCION "/>
    <x v="2"/>
    <d v="2022-11-30T00:00:00"/>
    <s v="3 de agosto reasignado a harold mondragon_x000a_28 DE SEPTIEMBRE EN ELABORACION DE FPA Y CC_x000a_10-11-2022, proceso se enttrega para revision _x000a_18-11-2022, en revision y sale por lista de precalificados_x000a_24-11-2022, POR INSTRUCCIÓN ASESORES GERENCIA GENERAL PROCESOS QUE NO SE VAN A TRAMITAR HASTA QUE AREA ENTREGUE VF, PROCESOS PARA DEVOLUCION AL AEREA "/>
    <d v="2022-11-30T00:00:00"/>
    <m/>
    <s v="nov"/>
    <n v="132"/>
    <n v="119"/>
    <m/>
    <s v="INVERSION"/>
    <m/>
    <m/>
    <m/>
    <m/>
    <m/>
    <m/>
    <m/>
    <m/>
    <m/>
    <m/>
    <m/>
    <m/>
    <m/>
    <m/>
    <m/>
    <n v="1"/>
    <m/>
  </r>
  <r>
    <n v="402"/>
    <s v="0445"/>
    <s v="GUENAA"/>
    <d v="2022-07-21T00:00:00"/>
    <x v="7"/>
    <s v="PRECALIF"/>
    <s v="FR-300-GAA-0203-2022"/>
    <s v="N/A"/>
    <s v="Reposición redes tramos criticos Acueducto y Alcantarillado sectores varios."/>
    <s v="N/A"/>
    <m/>
    <s v="900-IPU-0445-2022"/>
    <s v="IPU"/>
    <s v="N/A"/>
    <m/>
    <s v="N/A"/>
    <s v="N/A"/>
    <s v="N/A"/>
    <x v="0"/>
    <s v="HAROLD MONDRAGON"/>
    <d v="2022-07-29T00:00:00"/>
    <e v="#VALUE!"/>
    <e v="#VALUE!"/>
    <m/>
    <s v="ELABORACION OFICIO DEVOLUCION "/>
    <x v="2"/>
    <d v="2022-11-30T00:00:00"/>
    <s v="1 de agosto en solicitud de conceptos_x000a_28 DE SEPTIEMBRE EN ELABORACION DE FPA Y CC_x000a_08-11-2022, se encuentra en lista de precalificados por segmentos, en revision juridica de la GAE"/>
    <d v="2022-11-30T00:00:00"/>
    <m/>
    <s v="nov"/>
    <n v="132"/>
    <n v="124"/>
    <m/>
    <s v="INVERSION"/>
    <m/>
    <m/>
    <m/>
    <m/>
    <m/>
    <m/>
    <m/>
    <m/>
    <m/>
    <m/>
    <m/>
    <m/>
    <m/>
    <m/>
    <m/>
    <n v="1"/>
    <m/>
  </r>
  <r>
    <n v="403"/>
    <s v="0446"/>
    <s v="GUENAA"/>
    <d v="2022-07-21T00:00:00"/>
    <x v="7"/>
    <s v="N/A"/>
    <s v="FR-300-GAA-0204-2022"/>
    <s v="N/A"/>
    <s v="Obras de control de Aguas Lluvias y de Escorentía Microcuenca Monaco y Obras de estabilización de Laderas CDI La Estrella."/>
    <n v="1868276989"/>
    <m/>
    <s v="900-IPU-0446-2022"/>
    <s v="IPU"/>
    <s v="N/A"/>
    <m/>
    <s v="N/A"/>
    <s v="N/A"/>
    <s v="N/A"/>
    <x v="0"/>
    <s v="HAROLD MONDRAGON"/>
    <d v="2022-08-02T00:00:00"/>
    <e v="#VALUE!"/>
    <e v="#VALUE!"/>
    <m/>
    <s v="ELABORACION OFICIO DEVOLUCION "/>
    <x v="2"/>
    <d v="2022-11-30T00:00:00"/>
    <s v="28 DE SEPTIEMBRE EN ELABORACION DE FPA Y CC_x000a_09-11-2022, Revision FPA Y CC en juridico GAE_x000a_18-11-2022, revisado por asesora GAE con observaciones y pasar a direccion juridica _x000a_24-11-2022, POR INSTRUCCIÓN ASESORES GERENCIA GENERAL PROCESOS QUE NO SE VAN A TRAMITAR HASTA QUE AREA ENTREGUE VF, PROCESOS PARA DEVOLUCION AL AEREA"/>
    <d v="2022-11-30T00:00:00"/>
    <m/>
    <s v="nov"/>
    <n v="132"/>
    <n v="120"/>
    <m/>
    <s v="INVERSION"/>
    <m/>
    <m/>
    <m/>
    <m/>
    <m/>
    <m/>
    <m/>
    <m/>
    <m/>
    <m/>
    <m/>
    <m/>
    <m/>
    <m/>
    <m/>
    <n v="1"/>
    <m/>
  </r>
  <r>
    <n v="404"/>
    <s v="0447"/>
    <s v="GUENAA"/>
    <d v="2022-07-21T00:00:00"/>
    <x v="7"/>
    <s v="N/A"/>
    <s v="FR-300-GAA-0205-2022"/>
    <s v="N/A"/>
    <s v="Rehabilitación y/o reparación canales y colectores sectores varios Grupo 3 - Losas Canal Carrera 39E"/>
    <n v="720000000"/>
    <m/>
    <s v="900-IPU-0447-2022"/>
    <s v="IPU"/>
    <s v="N/A"/>
    <m/>
    <s v="N/A"/>
    <s v="N/A"/>
    <s v="N/A"/>
    <x v="0"/>
    <s v="HAROLD MONDRAGON"/>
    <d v="2022-08-02T00:00:00"/>
    <e v="#VALUE!"/>
    <e v="#VALUE!"/>
    <m/>
    <s v="ELABORACION OFICIO DEVOLUCION "/>
    <x v="2"/>
    <d v="2022-11-30T00:00:00"/>
    <s v="28 DE SEPTIEMBRE EN ELABORACION DE FPA Y CC_x000a_10-11-2022, se entrega a juridico de la GAE_x000a_24-11-2022, POR INSTRUCCIÓN ASESORES GERENCIA GENERAL PROCESOS QUE NO SE VAN A TRAMITAR HASTA QUE AREA ENTREGUE VF, PROCESOS PARA DEVOLUCION AL AEREA"/>
    <d v="2022-11-30T00:00:00"/>
    <m/>
    <s v="nov"/>
    <n v="132"/>
    <n v="120"/>
    <m/>
    <s v="INVERSION"/>
    <m/>
    <m/>
    <m/>
    <m/>
    <m/>
    <m/>
    <m/>
    <m/>
    <m/>
    <m/>
    <m/>
    <m/>
    <m/>
    <m/>
    <m/>
    <n v="1"/>
    <m/>
  </r>
  <r>
    <n v="405"/>
    <s v="0448"/>
    <s v="GUENE"/>
    <d v="2022-07-21T00:00:00"/>
    <x v="7"/>
    <s v="GE0335"/>
    <s v="FR-500-GE-0217-2022"/>
    <s v="500-CMA-1743-2021"/>
    <s v="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260921304"/>
    <s v="45 DIAS"/>
    <s v="N/A"/>
    <m/>
    <n v="202204350"/>
    <n v="260921304"/>
    <s v="N/A"/>
    <s v="N/A"/>
    <s v="N/A"/>
    <x v="1"/>
    <s v="ESTEFANIA SANCHEZ"/>
    <d v="2022-07-22T00:00:00"/>
    <e v="#VALUE!"/>
    <e v="#VALUE!"/>
    <s v="SI"/>
    <s v="Entregado al area"/>
    <x v="1"/>
    <m/>
    <m/>
    <d v="2022-09-14T00:00:00"/>
    <s v="Sep"/>
    <m/>
    <n v="55"/>
    <n v="54"/>
    <s v="N/A"/>
    <s v="FUNCIONAMIENTO"/>
    <s v="500-CMA-1743-2021/500-AO-2207-2022"/>
    <d v="2022-08-25T00:00:00"/>
    <n v="247875096"/>
    <s v="CABLES DE ENERGIA Y TELECOMUNICACIONES SA"/>
    <m/>
    <n v="13046208"/>
    <m/>
    <m/>
    <m/>
    <m/>
    <m/>
    <s v="YUMBO"/>
    <s v="MUNICIPAL"/>
    <s v="UNIDAD DE MANTENIMIENTO"/>
    <n v="5.0000547291454589E-2"/>
    <n v="1"/>
    <n v="0"/>
  </r>
  <r>
    <n v="406"/>
    <s v="0449"/>
    <s v="GUENAA"/>
    <d v="2022-07-21T00:00:00"/>
    <x v="7"/>
    <s v="GAA0721"/>
    <s v="FR-300-GAA-0195-2022"/>
    <s v="300-CMA-1974-2020"/>
    <s v="Suministro de materiales de ferretería asociados con la ejecución de acometidas de acueducto afines para EMCALI EICE ESP."/>
    <n v="1669573522"/>
    <s v="18 DE NOVIEMBRE 2022"/>
    <s v="N/A"/>
    <m/>
    <n v="202204475"/>
    <n v="1669573522"/>
    <s v="N/A"/>
    <s v="N/A"/>
    <s v="N/A"/>
    <x v="1"/>
    <s v="LUCY ARBELAEZ"/>
    <d v="2022-07-22T00:00:00"/>
    <n v="55"/>
    <n v="54"/>
    <s v="SI"/>
    <s v="Entregado al area"/>
    <x v="1"/>
    <s v="2 DE AGOSTO EN INVITACION A OFERTAR"/>
    <m/>
    <d v="2022-08-31T00:00:00"/>
    <s v="Aug"/>
    <m/>
    <n v="41"/>
    <n v="40"/>
    <s v="N/A"/>
    <s v="OPERACIÓN"/>
    <s v="300-CMA-1974-2020/300-AO-2199-2022_x000a_300-CMA-2200-2020/300-AO-2199-2022"/>
    <d v="2022-08-24T00:00:00"/>
    <n v="1604867981"/>
    <s v="EQUIPO Y HERRAMIENTAS INDUSTRIALES"/>
    <s v="202207907_x000a_202207902"/>
    <n v="64705541"/>
    <m/>
    <m/>
    <m/>
    <m/>
    <m/>
    <m/>
    <m/>
    <s v="UNIDAD DE SOPORTE OPERATIVO"/>
    <n v="3.8755730219348798E-2"/>
    <n v="1"/>
    <n v="0"/>
  </r>
  <r>
    <n v="407"/>
    <s v="0450"/>
    <s v="GUENAA"/>
    <d v="2022-07-21T00:00:00"/>
    <x v="7"/>
    <s v="GAA0760"/>
    <s v="FR-300-GAA-0197-2022"/>
    <s v="N/A"/>
    <s v="Acompañamiento en Geotecnia incluyendo asesorías, trabajos de campo, ensayos de Laboratorio e informes tecnicos requeridos para el desarrollo de evaluaciones Geotecnicas 2022"/>
    <n v="99967140"/>
    <m/>
    <s v="900-IP-0450-2022"/>
    <s v="IP-"/>
    <n v="202201991"/>
    <m/>
    <s v="N/A"/>
    <s v="N/A"/>
    <s v="N/A"/>
    <x v="2"/>
    <s v="LINA ECHAVARRIA"/>
    <d v="2022-07-27T00:00:00"/>
    <e v="#VALUE!"/>
    <e v="#VALUE!"/>
    <s v="NO"/>
    <s v="Devuelto"/>
    <x v="2"/>
    <m/>
    <s v="1 DE AGOSTO SOLICITUD DE CONCEPTOS"/>
    <d v="2022-09-15T00:00:00"/>
    <m/>
    <s v="sep"/>
    <n v="56"/>
    <n v="50"/>
    <s v="G"/>
    <s v="FUNCIONAMIENTO"/>
    <m/>
    <m/>
    <m/>
    <m/>
    <m/>
    <m/>
    <m/>
    <m/>
    <m/>
    <m/>
    <m/>
    <m/>
    <m/>
    <m/>
    <m/>
    <n v="1"/>
    <m/>
  </r>
  <r>
    <n v="408"/>
    <s v="0451"/>
    <s v="GUENAA"/>
    <d v="2022-07-21T00:00:00"/>
    <x v="7"/>
    <s v="GAA0759"/>
    <s v="FR-300-GAA-0198-2022"/>
    <s v="N/A"/>
    <s v="Levantamientos Planimetricos y Altimetricos Topograficos año 2022, para proyectos priorizados GUENAA de Acuaducto y Alcantarillado."/>
    <n v="119994840"/>
    <m/>
    <s v="900-IP-0451-2022"/>
    <s v="IP-"/>
    <n v="202201992"/>
    <m/>
    <s v="N/A"/>
    <s v="N/A"/>
    <s v="N/A"/>
    <x v="2"/>
    <s v="LINA ECHAVARRIA"/>
    <d v="2022-07-27T00:00:00"/>
    <e v="#VALUE!"/>
    <e v="#VALUE!"/>
    <s v="NO"/>
    <s v="Cerrado"/>
    <x v="0"/>
    <m/>
    <s v="1 DE AGOSTO SOLICITUD DE CONCEPTOS"/>
    <d v="2022-09-30T00:00:00"/>
    <m/>
    <s v="sep"/>
    <n v="71"/>
    <n v="65"/>
    <m/>
    <s v="FUNCIONAMIENTO"/>
    <m/>
    <m/>
    <m/>
    <m/>
    <m/>
    <m/>
    <m/>
    <m/>
    <m/>
    <m/>
    <m/>
    <m/>
    <m/>
    <m/>
    <m/>
    <n v="1"/>
    <m/>
  </r>
  <r>
    <n v="409"/>
    <s v="0452"/>
    <s v="GUENAA"/>
    <d v="2022-07-21T00:00:00"/>
    <x v="7"/>
    <s v="GAA0300"/>
    <s v="FR-300-GAA-0206-2022"/>
    <s v="N/A"/>
    <s v="Realizar el mantenimiento de los equipos menores de la Unidad de Atención Operativa."/>
    <n v="470000000"/>
    <s v="31 DE DICIEMBRE 2022"/>
    <s v="900-IP-0452-2022"/>
    <m/>
    <n v="202204480"/>
    <n v="470000000"/>
    <s v="N/A"/>
    <s v="N/A"/>
    <s v="N/A"/>
    <x v="2"/>
    <s v="HAROLD MONDRAGON"/>
    <d v="2022-07-29T00:00:00"/>
    <e v="#VALUE!"/>
    <e v="#VALUE!"/>
    <s v="SI"/>
    <s v="Entregado al area"/>
    <x v="1"/>
    <s v="1 de agosto en solicitud de conceptos"/>
    <m/>
    <d v="2022-09-09T00:00:00"/>
    <s v="Sep"/>
    <m/>
    <n v="50"/>
    <n v="42"/>
    <s v="G"/>
    <s v="FUNCIONAMIENTO"/>
    <s v="300-AO-2240-2022"/>
    <d v="2022-09-02T00:00:00"/>
    <n v="469113156"/>
    <s v="TALLERES BRIG LTDA"/>
    <n v="202208320"/>
    <n v="886844"/>
    <m/>
    <m/>
    <m/>
    <m/>
    <m/>
    <s v="CALI"/>
    <s v="LOCAL"/>
    <s v="UNIDAD DE ATENCIÓN OPERATIVA"/>
    <n v="1.8869021276595745E-3"/>
    <n v="1"/>
    <n v="1"/>
  </r>
  <r>
    <n v="410"/>
    <s v="0453"/>
    <s v="GUENAA"/>
    <d v="2022-07-21T00:00:00"/>
    <x v="7"/>
    <s v="PENDIENTE"/>
    <s v="FR-300-GAA-0067-2022"/>
    <s v="N/A"/>
    <s v="Mantenimiento a Equipos Electrogenos marca Cummins pertenecientes a las Estaciones de Bombeo de Aguas Lluvias y/o Residuales."/>
    <n v="149539291"/>
    <s v="18 DE NOVIEMBRE 2022"/>
    <s v="900-IP-0453-2022"/>
    <m/>
    <n v="202201834"/>
    <m/>
    <s v="N/A"/>
    <s v="N/A"/>
    <s v="N/A"/>
    <x v="2"/>
    <s v="ANA MARIA GIL"/>
    <d v="2022-08-04T00:00:00"/>
    <n v="55"/>
    <n v="41"/>
    <s v="SI"/>
    <s v="Entregado al area"/>
    <x v="1"/>
    <s v="2 DE AGOSTO SE ASIGNARA A OTRO GESTOR 4 DE AGOSTO REASIGNADO A ANA MARIA GIL Y SE ENCUENTRA EN INVITACION A OFERTAR"/>
    <m/>
    <d v="2022-08-31T00:00:00"/>
    <s v="Aug"/>
    <m/>
    <n v="41"/>
    <n v="27"/>
    <s v="G"/>
    <s v="FUNCIONAMIENTO"/>
    <s v="300-AO-2102-2022"/>
    <d v="2022-08-10T00:00:00"/>
    <n v="149539291"/>
    <s v="TECNODIESEL SAS"/>
    <n v="202207799"/>
    <n v="0"/>
    <m/>
    <m/>
    <m/>
    <m/>
    <m/>
    <s v="YUMBO"/>
    <s v="MUNICIPAL"/>
    <s v="UNIDAD DE BOMBEO"/>
    <n v="0"/>
    <n v="1"/>
    <n v="1"/>
  </r>
  <r>
    <n v="411"/>
    <s v="0454"/>
    <s v="GTI"/>
    <d v="2022-07-22T00:00:00"/>
    <x v="7"/>
    <s v="PENDIENTE"/>
    <s v="FR-200-GTI-0104-2022"/>
    <s v="N/A"/>
    <s v="Suscripción por un año, para obtener los servicios de soporte remoto, solución de fallas, actualización de software parches de seguridad entre otros sobre licenciamiento Liferay que soporta el portal y la Intranet de EMCALI"/>
    <n v="295048440"/>
    <s v="28 de noviembre 2022"/>
    <s v="900-IP-0454-2022"/>
    <m/>
    <s v="202201910_x000a_202203591"/>
    <n v="295048440"/>
    <s v="N/A"/>
    <s v="N/A"/>
    <s v="N/A"/>
    <x v="2"/>
    <s v="PAOLA BELTRAN"/>
    <d v="2022-07-22T00:00:00"/>
    <n v="54"/>
    <n v="54"/>
    <s v="SI"/>
    <s v="Entregado al area"/>
    <x v="1"/>
    <s v="1 DE AGOSTO EN RECEPCION DE COTIZACIONES"/>
    <m/>
    <d v="2022-08-26T00:00:00"/>
    <s v="Aug"/>
    <m/>
    <n v="35"/>
    <n v="35"/>
    <s v="G"/>
    <s v="FUNCIONAMIENTO"/>
    <s v="200-AO-2186-2022"/>
    <d v="2022-08-23T00:00:00"/>
    <n v="279925485"/>
    <s v="ENTELGY COLOMBIA  SAS"/>
    <n v="202207894"/>
    <n v="15122955"/>
    <m/>
    <m/>
    <m/>
    <m/>
    <m/>
    <s v="BOGOTA"/>
    <s v="LOCAL"/>
    <s v="GTI"/>
    <n v="5.1255837854963751E-2"/>
    <n v="0"/>
    <n v="1"/>
  </r>
  <r>
    <n v="412"/>
    <s v="0455"/>
    <s v="GUENE"/>
    <d v="2022-07-22T00:00:00"/>
    <x v="7"/>
    <s v="PENDIENTE"/>
    <s v="FR-500-GE-0116-2022"/>
    <s v="N/A"/>
    <s v="Calibración de equipos de prueba de medidores - EPM y un patrón Trifásico Multifunción, en la magnitud de energía eléctrica"/>
    <n v="62492850"/>
    <s v="90 dias"/>
    <s v="900-IP-0455-2022"/>
    <m/>
    <n v="202201684"/>
    <m/>
    <s v="N/A"/>
    <s v="N/A"/>
    <s v="N/A"/>
    <x v="2"/>
    <s v="LINA ECHAVARRIA"/>
    <d v="2022-07-22T00:00:00"/>
    <n v="54"/>
    <n v="54"/>
    <s v="SI"/>
    <s v="Entregado al area"/>
    <x v="1"/>
    <s v="1 DE AGOSTO EN INVITACION A OFERTAR"/>
    <m/>
    <d v="2022-08-22T00:00:00"/>
    <s v="Aug"/>
    <m/>
    <n v="31"/>
    <n v="31"/>
    <s v="G"/>
    <s v="FUNCIONAMIENTO"/>
    <s v="500-AO-2091-2022"/>
    <d v="2022-08-08T00:00:00"/>
    <n v="62490471"/>
    <s v="DIGITRON LIMITADA"/>
    <n v="202207847"/>
    <n v="2379"/>
    <m/>
    <m/>
    <m/>
    <m/>
    <m/>
    <s v="BOGOTA"/>
    <s v="LOCAL"/>
    <s v="UNIDAD DE SERVICIOS COMPLEMENTARIOS"/>
    <n v="3.8068355019814269E-5"/>
    <n v="1"/>
    <n v="1"/>
  </r>
  <r>
    <n v="413"/>
    <s v="0456"/>
    <s v="GAGHA"/>
    <d v="2022-07-22T00:00:00"/>
    <x v="7"/>
    <s v="GHA0262"/>
    <s v="FR-800-GHA-0175-2022"/>
    <s v="800-CMA-1914-2021"/>
    <s v="Realizar las actividades necesarias para llevar a cabo las adecuaciones locativas y mantenimiento preventivos y correctivos en la Gerencia Estrategica de Negocio de Acueducto y Alcantarillado - Reparación Cubiertas Planta PTAR-C"/>
    <n v="299978782"/>
    <s v="31 DE DICIEMBRE 2022"/>
    <s v="N/A"/>
    <m/>
    <n v="202202408"/>
    <n v="300000000"/>
    <s v="N/A"/>
    <s v="N/A"/>
    <s v="N/A"/>
    <x v="1"/>
    <s v="ESTEFANIA SANCHEZ"/>
    <d v="2022-07-22T00:00:00"/>
    <e v="#VALUE!"/>
    <e v="#VALUE!"/>
    <s v="SI"/>
    <s v="Entregado al area"/>
    <x v="1"/>
    <m/>
    <m/>
    <d v="2022-09-13T00:00:00"/>
    <s v="Sep"/>
    <m/>
    <n v="53"/>
    <n v="53"/>
    <s v="N/A"/>
    <s v="FUNCIONAMIENTO"/>
    <s v="800-CMA-1914-2021/800-AO-2258-2022"/>
    <d v="2022-09-07T00:00:00"/>
    <n v="284979354"/>
    <s v="MAURICIO TABARES OSSA"/>
    <m/>
    <n v="14999428"/>
    <m/>
    <m/>
    <m/>
    <m/>
    <m/>
    <s v="CALI"/>
    <s v="LOCAL"/>
    <s v="UNIDAD DE GESTION ADMINISTRATIVA"/>
    <n v="5.0001629781935709E-2"/>
    <n v="0"/>
    <n v="0"/>
  </r>
  <r>
    <n v="414"/>
    <s v="0457"/>
    <s v="GAGHA"/>
    <d v="2022-07-22T00:00:00"/>
    <x v="7"/>
    <s v="GHA0068"/>
    <s v="FR-800-GHA-0156-2022"/>
    <s v="N/A"/>
    <s v="Realizar la compra de Café y Azúcar para el cumplimiento de las funciones administrativas propias de EMCALI EICE ESP."/>
    <n v="118510110"/>
    <m/>
    <s v="900-IP-0457-2022"/>
    <s v="IP-"/>
    <s v="202204454_x000a_202203557_x000a_202203532_x000a_202203531_x000a_202203533"/>
    <m/>
    <s v="N/A"/>
    <s v="N/A"/>
    <s v="N/A"/>
    <x v="2"/>
    <s v="ANA MARIA GIL"/>
    <d v="2022-08-04T00:00:00"/>
    <e v="#VALUE!"/>
    <e v="#VALUE!"/>
    <s v="NO"/>
    <s v="Devuelto"/>
    <x v="2"/>
    <m/>
    <s v="2 DE AGOSTO SE ASIGNARA A OTRO GESTOR 4 DE AGOSTO REASIGNADO A ANA MARIA GIL Y SE ENCUENTRA EN SOLICITUD DE CONCEPTOS_x000a_18 de agosto en espra de informacion por parte del area para modificar cantidades porque las cotizacion rebasaron el presupuesto_x000a_"/>
    <d v="2022-09-15T00:00:00"/>
    <m/>
    <s v="sep"/>
    <n v="55"/>
    <n v="42"/>
    <s v="G"/>
    <s v="FUNCIONAMIENTO"/>
    <m/>
    <m/>
    <m/>
    <m/>
    <m/>
    <m/>
    <m/>
    <m/>
    <m/>
    <m/>
    <m/>
    <m/>
    <m/>
    <m/>
    <m/>
    <n v="0"/>
    <m/>
  </r>
  <r>
    <n v="415"/>
    <s v="0458"/>
    <s v="GAGHA"/>
    <d v="2022-07-22T00:00:00"/>
    <x v="7"/>
    <s v="GHA0261"/>
    <s v="FR-800-GHA-0174-2022"/>
    <s v="800-CMA-1914-2021"/>
    <s v="Realizar las actividades necesarias para llevar a cabo las adecuaciones locativas y mantenimiento preventivos y correctivos en la Gerencia Estrategica de Negocio de Acueducto y Alcantarillado - Mantenimiento de cubierta y construcción de filtros Sede Alcantarillado."/>
    <n v="570074465"/>
    <s v="31 DE DICIEMBRE 2022"/>
    <s v="N/A"/>
    <m/>
    <s v="202203916_x000a_202203917"/>
    <n v="570074465"/>
    <s v="N/A"/>
    <s v="N/A"/>
    <s v="N/A"/>
    <x v="1"/>
    <s v="ESTEFANIA SANCHEZ"/>
    <d v="2022-07-22T00:00:00"/>
    <e v="#VALUE!"/>
    <e v="#VALUE!"/>
    <s v="SI"/>
    <s v="Entregado al area"/>
    <x v="1"/>
    <m/>
    <m/>
    <d v="2022-09-20T00:00:00"/>
    <s v="Sep"/>
    <m/>
    <n v="60"/>
    <n v="60"/>
    <s v="N/A"/>
    <s v="FUNCIONAMIENTO"/>
    <s v="800-CMA-1914-2021/800-AO-2260-2022"/>
    <d v="2022-09-07T00:00:00"/>
    <n v="541573954"/>
    <s v=" Unión Temporal M&amp;C2021"/>
    <n v="202208356"/>
    <n v="28500511"/>
    <m/>
    <m/>
    <m/>
    <m/>
    <m/>
    <s v="CALI"/>
    <s v="LOCAL"/>
    <s v="UNIDAD DE GESTION ADMINISTRATIVA"/>
    <n v="4.9994365209815178E-2"/>
    <n v="0"/>
    <n v="0"/>
  </r>
  <r>
    <n v="416"/>
    <s v="0459"/>
    <s v="GUENE"/>
    <d v="2022-07-22T00:00:00"/>
    <x v="7"/>
    <s v="PENDIENTE"/>
    <s v="FR-500-GE-0197-2022"/>
    <s v="N/A"/>
    <s v="Suministro de Medidores de Energía Electronicos para Medida Directa"/>
    <n v="667336173"/>
    <s v="28 de noviembre 2022"/>
    <s v="900-IP-0459-2022"/>
    <m/>
    <n v="202203902"/>
    <m/>
    <s v="N/A"/>
    <s v="N/A"/>
    <s v="N/A"/>
    <x v="2"/>
    <s v="LINA ECHAVARRIA"/>
    <d v="2022-07-22T00:00:00"/>
    <n v="54"/>
    <n v="54"/>
    <s v="SI"/>
    <s v="Entregado al area"/>
    <x v="1"/>
    <s v="1 DE AGOSTO EN EVALUACION DE LA OFERTA"/>
    <m/>
    <d v="2022-08-17T00:00:00"/>
    <s v="Aug"/>
    <m/>
    <n v="26"/>
    <n v="26"/>
    <s v="B"/>
    <s v="OPERACIÓN"/>
    <s v="500-AO-2081-2022_x000a_500-AO-2198-2022"/>
    <s v="03/08/2022_x000a_27/08/2022"/>
    <n v="667221076"/>
    <s v="INELCA SAS_x000a_RYMEL  INGENIERIA ELECTRICA SAS"/>
    <n v="202207671"/>
    <n v="115097"/>
    <m/>
    <m/>
    <m/>
    <m/>
    <m/>
    <s v="CALI"/>
    <s v="LOCAL"/>
    <s v="UNIDAD DE CONTROL DE ENERGÍA"/>
    <n v="1.724722930612065E-4"/>
    <n v="1"/>
    <n v="1"/>
  </r>
  <r>
    <n v="417"/>
    <s v="0460"/>
    <s v="GUENT"/>
    <d v="2022-07-25T00:00:00"/>
    <x v="7"/>
    <s v="GT0186_x000a_GT0170"/>
    <s v="FR-400-GT-0150-2022"/>
    <s v="N/A"/>
    <s v="Adquirir equipos para radio enlaces en las bandas de frecuencia no licenciada para ampliar la red de acceso inalámbrica."/>
    <n v="280179462"/>
    <s v="28 DE NOVIEMBRE 2022"/>
    <s v="900-IP-0460-2022"/>
    <m/>
    <s v="202204426_x000a_202202413"/>
    <n v="250000000"/>
    <s v="N/A"/>
    <s v="N/A"/>
    <s v="N/A"/>
    <x v="2"/>
    <s v="HAROLD MONDRAGON"/>
    <d v="2022-07-29T00:00:00"/>
    <e v="#VALUE!"/>
    <e v="#VALUE!"/>
    <s v="SI"/>
    <s v="Entregado al area"/>
    <x v="1"/>
    <s v="1 de agosto en solicitud de conceptos"/>
    <m/>
    <d v="2022-09-12T00:00:00"/>
    <s v="Sep"/>
    <m/>
    <n v="49"/>
    <n v="45"/>
    <s v="G"/>
    <s v="INVERSION"/>
    <s v="400-AO-2245-2022"/>
    <d v="2022-09-05T00:00:00"/>
    <n v="280005455"/>
    <s v="MAICROTEL SAS"/>
    <n v="202208316"/>
    <n v="174007"/>
    <m/>
    <m/>
    <m/>
    <m/>
    <m/>
    <s v="BOGOTA"/>
    <s v="NACIONAL"/>
    <s v="SUBGERENCIA OPERATIVA"/>
    <n v="6.2105551476860212E-4"/>
    <n v="1"/>
    <n v="1"/>
  </r>
  <r>
    <n v="418"/>
    <s v="0461"/>
    <s v="GAGHA"/>
    <d v="2022-08-08T00:00:00"/>
    <x v="8"/>
    <s v="GHA0279_x000a_GHA0280"/>
    <s v="FR-800-GAGHA-138-2022"/>
    <s v="N/A"/>
    <s v=" un (1) carrotanque "/>
    <n v="406259000"/>
    <m/>
    <s v="900-IP-0461-2022"/>
    <s v="IP-"/>
    <s v="202202571_x000a_202202573_x000a_202202574_x000a_202202575"/>
    <m/>
    <s v="N/A"/>
    <s v="N/A"/>
    <s v="N/A"/>
    <x v="2"/>
    <s v="LEIDY DIANA FRANCO"/>
    <d v="2022-07-26T00:00:00"/>
    <e v="#VALUE!"/>
    <e v="#VALUE!"/>
    <s v="NO"/>
    <s v="Devuelto"/>
    <x v="2"/>
    <m/>
    <s v="Por presupuesto"/>
    <d v="2022-08-03T00:00:00"/>
    <m/>
    <s v="ago"/>
    <n v="-5"/>
    <n v="8"/>
    <m/>
    <s v="FUNCIONAMIENTO"/>
    <m/>
    <m/>
    <m/>
    <m/>
    <m/>
    <m/>
    <m/>
    <m/>
    <m/>
    <m/>
    <m/>
    <m/>
    <m/>
    <m/>
    <m/>
    <n v="0"/>
    <m/>
  </r>
  <r>
    <n v="419"/>
    <s v="0462"/>
    <s v="GUENE"/>
    <d v="2022-07-26T00:00:00"/>
    <x v="7"/>
    <s v="GE0359"/>
    <s v="FR-500-GE-0224-2022"/>
    <s v="N/A"/>
    <s v="Suministro e instalación de persianas en el Edificio de Telecontrol"/>
    <n v="18199839"/>
    <m/>
    <s v="900-IP-0462-2022"/>
    <s v="IP-"/>
    <n v="202203107"/>
    <m/>
    <s v="N/A"/>
    <s v="N/A"/>
    <s v="N/A"/>
    <x v="2"/>
    <s v="JULIO ERNESTO GARCIA"/>
    <d v="2022-07-27T00:00:00"/>
    <e v="#VALUE!"/>
    <e v="#VALUE!"/>
    <m/>
    <s v="Cerrado"/>
    <x v="0"/>
    <d v="2022-12-22T00:00:00"/>
    <s v="2 de agosto esperando ajuste de las especificaciones de parte del area_x000a_29 DE SEPTIEMBRE EN ESPERA DE LA REVISION DE LA FPA_x000a_12-11-2022, LO TIENE PARA REVISION MARCIA _x000a_22-12-2022,Se realiza Acta de Terminación Anticipada por Mutuo Acuerdo en razón a que el proveedor no alcanza a ejecutar el contrato dentro de la presente vigencia fiscal."/>
    <d v="2022-12-22T00:00:00"/>
    <m/>
    <s v="dic"/>
    <n v="149"/>
    <n v="148"/>
    <m/>
    <s v="INVERSION"/>
    <m/>
    <m/>
    <m/>
    <m/>
    <m/>
    <m/>
    <m/>
    <m/>
    <m/>
    <m/>
    <m/>
    <m/>
    <m/>
    <m/>
    <m/>
    <n v="1"/>
    <m/>
  </r>
  <r>
    <n v="420"/>
    <s v="0463"/>
    <s v="GUENTIC"/>
    <d v="2022-07-27T00:00:00"/>
    <x v="7"/>
    <s v="GT0164"/>
    <s v="FR-400-GT-0178-2022"/>
    <s v="N/A"/>
    <s v="Soporte técnico requerido para la operación, administración y manejo de la plataforma, incluyendo transferencia de conocimiento hacia el personal encargado de Zabbix en EMCALI EICE ESP"/>
    <n v="129108545"/>
    <m/>
    <s v="900-IP-0463-2022"/>
    <s v="IP-"/>
    <n v="202205066"/>
    <m/>
    <s v="N/A"/>
    <s v="N/A"/>
    <s v="N/A"/>
    <x v="2"/>
    <s v="JULIETA ORTIZ"/>
    <d v="2022-07-27T00:00:00"/>
    <e v="#VALUE!"/>
    <e v="#VALUE!"/>
    <s v="NO"/>
    <s v="Devuelto"/>
    <x v="2"/>
    <m/>
    <s v="2 DE AGOSTO EN COTIZACIONES 5 de agosto en revision de fpa e invitacion"/>
    <d v="2022-08-10T00:00:00"/>
    <m/>
    <s v="ago"/>
    <n v="14"/>
    <n v="14"/>
    <m/>
    <s v="FUNCIONAMIENTO"/>
    <m/>
    <m/>
    <m/>
    <m/>
    <m/>
    <m/>
    <m/>
    <m/>
    <m/>
    <m/>
    <m/>
    <m/>
    <m/>
    <m/>
    <m/>
    <n v="0"/>
    <m/>
  </r>
  <r>
    <n v="421"/>
    <s v="0464"/>
    <s v="GUENT"/>
    <d v="2022-07-27T00:00:00"/>
    <x v="7"/>
    <s v="GT0142"/>
    <s v="FR-400-GT-0175-2022"/>
    <s v="N/A"/>
    <s v="Suministro de gases industriales para soldadura y mantenimiento requeridos para el mantenimiento predictivo, preventivo y correctivo de los equipos de aire acondicionado de las centrales telefónicas de EMCALI EICE ESP"/>
    <n v="5086714"/>
    <m/>
    <s v="900-IP-0464-2022"/>
    <s v="IP-"/>
    <n v="202202928"/>
    <m/>
    <s v="N/A"/>
    <s v="N/A"/>
    <s v="N/A"/>
    <x v="2"/>
    <s v="JULIO ERNESTO GARCIA"/>
    <d v="2022-07-29T00:00:00"/>
    <e v="#VALUE!"/>
    <e v="#VALUE!"/>
    <s v="NO"/>
    <s v="Adjudicacion"/>
    <x v="1"/>
    <d v="2022-11-30T00:00:00"/>
    <s v="2 de agosto en solicitud de conceptos_x000a_29 DE AGOSTO SE CIERRA PORQUE EL PROVEEDOR DESISITIO _x000a_12-11-2022,Pendiente envío póliza de cumplimiento por parte del proveedor"/>
    <d v="2022-11-21T00:00:00"/>
    <s v="Nov"/>
    <s v="nov"/>
    <n v="117"/>
    <n v="115"/>
    <s v="G"/>
    <s v="FUNCIONAMIENTO"/>
    <s v="400-AO-2298-2022"/>
    <d v="2022-09-15T00:00:00"/>
    <n v="4694074"/>
    <s v="SUMINISTROS E INSUMOS INDUSTRIALES LTDA"/>
    <n v="202208443"/>
    <n v="392640"/>
    <m/>
    <m/>
    <m/>
    <m/>
    <m/>
    <m/>
    <m/>
    <m/>
    <n v="7.7189321043015194E-2"/>
    <n v="1"/>
    <n v="1"/>
  </r>
  <r>
    <n v="422"/>
    <s v="0465"/>
    <s v="GUENT"/>
    <d v="2022-07-27T00:00:00"/>
    <x v="7"/>
    <s v="GT0145"/>
    <s v="FR-400-GT-0191-2022"/>
    <s v="N/A"/>
    <s v="Suministro de filtros y aceites para el mantenimiento preventivo y correctivo de los equipos activos de las Centrales telefónicas de EMCALI EICE ESP"/>
    <n v="14525687"/>
    <s v="28 DE NOVIEMBRE 2022"/>
    <s v="900-IP-0465-2022"/>
    <m/>
    <n v="202202997"/>
    <m/>
    <s v="N/A"/>
    <s v="N/A"/>
    <s v="N/A"/>
    <x v="2"/>
    <s v="JHON LARRY "/>
    <d v="2022-07-29T00:00:00"/>
    <e v="#VALUE!"/>
    <e v="#VALUE!"/>
    <s v="SI"/>
    <s v="Entregado al area"/>
    <x v="1"/>
    <s v="2 DE AGOSTO EN SOLICITUD DE CONCEPTOS. 5 DE AGOSTO EN COTIZACION"/>
    <m/>
    <d v="2022-09-19T00:00:00"/>
    <s v="Sep"/>
    <m/>
    <n v="54"/>
    <n v="52"/>
    <s v="G"/>
    <s v="FUNCIONAMIENTO"/>
    <s v="400-AO-2295-2022"/>
    <d v="2022-09-15T00:00:00"/>
    <n v="13762090"/>
    <s v="MUNDIAL DE FILTROS Y ACEITES SAS"/>
    <n v="202208440"/>
    <n v="763597"/>
    <m/>
    <m/>
    <m/>
    <m/>
    <m/>
    <s v="CALI"/>
    <s v="LOCAL"/>
    <s v="SUBGERENCIA OPERATIVA"/>
    <n v="5.2568735647408625E-2"/>
    <n v="1"/>
    <n v="1"/>
  </r>
  <r>
    <n v="423"/>
    <s v="0466"/>
    <s v="GUENE"/>
    <d v="2022-07-27T00:00:00"/>
    <x v="7"/>
    <s v="GE0281"/>
    <s v="FR-500-GE-0220-2022"/>
    <s v="N/A"/>
    <s v="Suministro de Vehículos 100% eléctricos con base en las Especificaciones Técnicas"/>
    <n v="653117854"/>
    <m/>
    <s v="900-IPU-0466-2022"/>
    <s v="IPU"/>
    <n v="202204431"/>
    <m/>
    <s v="N/A"/>
    <s v="N/A"/>
    <s v="N/A"/>
    <x v="0"/>
    <s v="JUAN DAVID GOMEZ"/>
    <d v="2022-11-08T00:00:00"/>
    <e v="#VALUE!"/>
    <e v="#VALUE!"/>
    <m/>
    <s v="Cerrado"/>
    <x v="0"/>
    <d v="2022-12-12T00:00:00"/>
    <s v="3 de agosto reasignado a laura pimienta_x000a_28 DE SEPTIEMBRE A LA ESPERA DE LA PROPUESTA POR PARTE DEL PROVEEDOR_x000a_12-12-2022, EL PROCESO SE CERRO POR NO PRESENTARSE OFERTAS AL PROCESO "/>
    <d v="2022-12-12T00:00:00"/>
    <m/>
    <s v="dic"/>
    <n v="138"/>
    <n v="34"/>
    <s v="L"/>
    <s v="FUNCIONAMIENTO"/>
    <m/>
    <m/>
    <m/>
    <m/>
    <m/>
    <m/>
    <m/>
    <m/>
    <m/>
    <m/>
    <m/>
    <m/>
    <m/>
    <m/>
    <m/>
    <n v="1"/>
    <m/>
  </r>
  <r>
    <n v="424"/>
    <s v="0467"/>
    <s v="GUENE"/>
    <d v="2022-07-27T00:00:00"/>
    <x v="7"/>
    <s v="GE0275"/>
    <s v="FR-500-GE-0230-2022"/>
    <s v="500-CMA-1743-2021"/>
    <s v="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691395355"/>
    <s v="45 DIAS"/>
    <s v="N/A"/>
    <m/>
    <n v="202205361"/>
    <n v="691395355"/>
    <s v="N/A"/>
    <s v="N/A"/>
    <s v="N/A"/>
    <x v="1"/>
    <s v="ESTEFANIA SANCHEZ"/>
    <d v="2022-07-27T00:00:00"/>
    <n v="104"/>
    <n v="104"/>
    <s v="SI"/>
    <s v="Entregado al area"/>
    <x v="1"/>
    <s v="28 DE SEPTIEMBRE EN SOLCIITUD DE POLIZAS"/>
    <m/>
    <d v="2022-10-04T00:00:00"/>
    <s v="Oct"/>
    <n v="69"/>
    <m/>
    <n v="69"/>
    <s v="N/A"/>
    <s v="OPERACIÓN_x000a_INVERSION"/>
    <s v="500-CMA-1743-2021/500-AO-2380-2022"/>
    <d v="2022-09-15T00:00:00"/>
    <n v="691395355"/>
    <s v="CENTELSA SA"/>
    <n v="202208523"/>
    <n v="0"/>
    <s v="YUMBO"/>
    <s v="MUNICIPAL"/>
    <m/>
    <m/>
    <m/>
    <m/>
    <m/>
    <m/>
    <n v="0"/>
    <n v="1"/>
    <n v="0"/>
  </r>
  <r>
    <n v="425"/>
    <s v="0468"/>
    <s v="GUENAA"/>
    <d v="2022-07-28T00:00:00"/>
    <x v="7"/>
    <s v="GAA0085"/>
    <s v="FR-300-GAA-0207-2022"/>
    <s v="N/A"/>
    <s v="Realizar calibración en sitio de RVM, rotametros y Caudalimetros instalados en los Bancos de Calibración del Laboratorio de Medidores Acueducto"/>
    <n v="34807500"/>
    <s v="31 DE DICIEMBRE 2022"/>
    <s v="900-IP-0468-2022"/>
    <m/>
    <n v="202202257"/>
    <n v="35000000"/>
    <s v="N/A"/>
    <s v="N/A"/>
    <s v="N/A"/>
    <x v="2"/>
    <s v="IVAN ALDANA"/>
    <d v="2022-07-29T00:00:00"/>
    <e v="#VALUE!"/>
    <e v="#VALUE!"/>
    <s v="SI"/>
    <s v="Entregado al area"/>
    <x v="1"/>
    <s v="2 DE AGOSTO EN SOLCIITUD DE COTIZACION. 5 DE AGOSTO EN ELABORACION DE FPA E INVITACION."/>
    <m/>
    <d v="2022-09-08T00:00:00"/>
    <s v="Sep"/>
    <m/>
    <n v="42"/>
    <n v="41"/>
    <s v="G"/>
    <s v="FUNCIONAMIENTO"/>
    <s v="300-AO-2214-2022"/>
    <d v="2022-08-26T00:00:00"/>
    <n v="34807500"/>
    <s v="VOLUMED SAS"/>
    <n v="202208272"/>
    <n v="0"/>
    <m/>
    <m/>
    <m/>
    <m/>
    <m/>
    <s v="BOGOTA"/>
    <s v="NACIONAL"/>
    <s v="LABORATORIO DE MEDIDORES ACUEDUCTO"/>
    <n v="0"/>
    <n v="1"/>
    <n v="1"/>
  </r>
  <r>
    <n v="426"/>
    <s v="0469"/>
    <s v="GUENAA"/>
    <d v="2022-07-28T00:00:00"/>
    <x v="7"/>
    <s v="GAA0673"/>
    <s v="FR-300-GAA-0208-2022"/>
    <s v="N/A"/>
    <s v="Mantenimiento Tanque Subterraneo usado para el almacenamiento de Agua Potable del Laboratorio de Medidores Acueducto."/>
    <n v="26188501"/>
    <m/>
    <s v="900-IP-0469-2022"/>
    <s v="IP-"/>
    <n v="202205245"/>
    <m/>
    <s v="N/A"/>
    <s v="N/A"/>
    <s v="N/A"/>
    <x v="2"/>
    <s v="MARIA CAMILA OLIVEROS"/>
    <d v="2022-07-29T00:00:00"/>
    <e v="#VALUE!"/>
    <e v="#VALUE!"/>
    <s v="NO"/>
    <s v="Devuelto"/>
    <x v="2"/>
    <d v="2022-11-12T00:00:00"/>
    <s v="28 DE SEPTIEMBRE EN ACEPTACION DE OFERTA"/>
    <d v="2022-10-12T00:00:00"/>
    <m/>
    <s v="oct"/>
    <n v="76"/>
    <n v="75"/>
    <m/>
    <s v="FUNCIONAMIENTO"/>
    <m/>
    <m/>
    <m/>
    <m/>
    <m/>
    <m/>
    <m/>
    <m/>
    <m/>
    <m/>
    <m/>
    <m/>
    <m/>
    <m/>
    <m/>
    <n v="1"/>
    <m/>
  </r>
  <r>
    <n v="427"/>
    <s v="0470"/>
    <s v="GUENAA"/>
    <d v="2022-07-28T00:00:00"/>
    <x v="7"/>
    <s v="GAA0678_x000a_GAA0058"/>
    <s v="FR-300-GAA-0209-2022"/>
    <s v="N/A"/>
    <s v="Mantenimiento Tanque Elevado usado para el almacenamiento de Agua Potable del Laboratorio de Medidores Acueducto."/>
    <n v="47253260"/>
    <s v="90 DIAS"/>
    <s v="900-IP-0470-2022"/>
    <m/>
    <s v="202202232_x000a_202202231_x000a_202202226"/>
    <n v="47253260"/>
    <s v="N/A"/>
    <s v="N/A"/>
    <s v="N/A"/>
    <x v="2"/>
    <s v="CAMILO NUÑEZ"/>
    <d v="2022-07-29T00:00:00"/>
    <e v="#VALUE!"/>
    <e v="#VALUE!"/>
    <s v="SI"/>
    <s v="Entregado al area"/>
    <x v="1"/>
    <s v="1 DE AGOSTO ENNSOLICITUD DE CONCEPTOS"/>
    <m/>
    <d v="2022-09-27T00:00:00"/>
    <s v="Sep"/>
    <m/>
    <n v="61"/>
    <n v="60"/>
    <s v="G"/>
    <s v="FUNCIONAMIENTO"/>
    <s v="300-AO-2341-2022"/>
    <d v="2022-09-15T00:00:00"/>
    <n v="46151260"/>
    <s v="COMACON APLICACIONES SAS"/>
    <n v="202208543"/>
    <n v="1102000"/>
    <m/>
    <m/>
    <m/>
    <m/>
    <m/>
    <s v="CALI"/>
    <s v="LOCAL"/>
    <s v="LABORATORIO DE MEDIDORES ACUEDUCTO"/>
    <n v="2.3321142287325784E-2"/>
    <n v="1"/>
    <n v="1"/>
  </r>
  <r>
    <n v="428"/>
    <s v="0471"/>
    <s v="GUENAA"/>
    <d v="2022-07-28T00:00:00"/>
    <x v="7"/>
    <s v="GAA0671"/>
    <s v="FR-300-GAA-0210-2022"/>
    <s v="N/A"/>
    <s v="Mantenimiento Sistema de Bombeo y Compresores de aire del Laboratorio de Medidores Acueducto."/>
    <n v="22222060"/>
    <s v="31 DE DICIEMBRE 2022"/>
    <s v="900-IP-0471-2022"/>
    <m/>
    <n v="202205242"/>
    <n v="22222060"/>
    <s v="N/A"/>
    <s v="N/A"/>
    <s v="N/A"/>
    <x v="2"/>
    <s v="MARIA CAMILA OLIVEROS"/>
    <d v="2022-07-29T00:00:00"/>
    <e v="#VALUE!"/>
    <e v="#VALUE!"/>
    <s v="SI"/>
    <s v="Entregado al area"/>
    <x v="1"/>
    <m/>
    <m/>
    <d v="2022-09-06T00:00:00"/>
    <s v="Sep"/>
    <m/>
    <n v="40"/>
    <n v="39"/>
    <s v="G"/>
    <s v="FUNCIONAMIENTO"/>
    <s v="300-AO-2225-2022"/>
    <d v="2022-08-31T00:00:00"/>
    <n v="22222060"/>
    <s v="TALLERES BRIG LTDA"/>
    <n v="202208246"/>
    <n v="0"/>
    <m/>
    <m/>
    <m/>
    <m/>
    <m/>
    <s v="CALI"/>
    <s v="LOCAL"/>
    <s v="LABORATORIO DE MEDIDORES ACUEDUCTO"/>
    <n v="0"/>
    <n v="1"/>
    <n v="1"/>
  </r>
  <r>
    <n v="429"/>
    <s v="0472"/>
    <s v="GUENAA"/>
    <d v="2022-07-28T00:00:00"/>
    <x v="7"/>
    <s v="GAA0672"/>
    <s v="FR-300-GAA-0211-2022"/>
    <s v="N/A"/>
    <s v="Mantenimiento de Software de Gestión P&amp;P para la Calibración de Medidores Acueducto"/>
    <n v="19999140"/>
    <m/>
    <s v="900-IP-0472-2022"/>
    <s v="IP-"/>
    <n v="202205243"/>
    <m/>
    <s v="N/A"/>
    <s v="N/A"/>
    <s v="N/A"/>
    <x v="2"/>
    <s v="CAMILO NUÑEZ"/>
    <d v="2022-07-29T00:00:00"/>
    <e v="#VALUE!"/>
    <e v="#VALUE!"/>
    <s v="NO"/>
    <s v="Devuelto"/>
    <x v="2"/>
    <m/>
    <s v="1 DE AGOSTO ENNSOLICITUD DE CONCEPTOS_x000a_SE DEVUELVE  PORQUE ES UN PROCESO SAM"/>
    <d v="2022-08-17T00:00:00"/>
    <m/>
    <s v="ago"/>
    <n v="20"/>
    <n v="19"/>
    <s v="G"/>
    <s v="FUNCIONAMIENTO"/>
    <m/>
    <m/>
    <m/>
    <m/>
    <m/>
    <m/>
    <m/>
    <m/>
    <m/>
    <m/>
    <m/>
    <m/>
    <m/>
    <m/>
    <m/>
    <n v="1"/>
    <m/>
  </r>
  <r>
    <n v="430"/>
    <s v="0473"/>
    <s v="GUENAA"/>
    <d v="2022-07-28T00:00:00"/>
    <x v="7"/>
    <s v="GAA0212"/>
    <s v="FR-300-GAA-0212-2022"/>
    <s v="N/A"/>
    <s v="Realizar la calibración de los instrumentos de temperatura, presión y humedad relativa instalados en el Laboratorio de Medidores Acueducto."/>
    <n v="16676370"/>
    <s v="90 DIAS"/>
    <s v="900-IP-0473-2022"/>
    <m/>
    <s v="202202258_x000a_202202259_x000a_202202260_x000a_202202261"/>
    <n v="16676370"/>
    <s v="N/A"/>
    <s v="N/A"/>
    <s v="N/A"/>
    <x v="2"/>
    <s v="NINFA SANTANA"/>
    <d v="2022-07-29T00:00:00"/>
    <e v="#VALUE!"/>
    <e v="#VALUE!"/>
    <s v="SI"/>
    <s v="Entregado al area"/>
    <x v="1"/>
    <m/>
    <m/>
    <d v="2022-09-20T00:00:00"/>
    <s v="Sep"/>
    <m/>
    <n v="54"/>
    <n v="53"/>
    <s v="G"/>
    <s v="FUNCIONAMIENTO"/>
    <s v="300-AO-2293-2022"/>
    <d v="2022-09-15T00:00:00"/>
    <n v="16378203"/>
    <s v="METROLOGIC COLOMBIA SAS"/>
    <n v="202208423"/>
    <n v="298167"/>
    <m/>
    <m/>
    <m/>
    <m/>
    <m/>
    <s v="CALI"/>
    <s v="LOCAL"/>
    <s v="LABORATORIO DE MEDIDORES ACUEDUCTO"/>
    <n v="1.7879610490772271E-2"/>
    <n v="1"/>
    <n v="1"/>
  </r>
  <r>
    <n v="431"/>
    <s v="0474"/>
    <s v="GUENE"/>
    <d v="2022-07-28T00:00:00"/>
    <x v="7"/>
    <s v="PENDIENTE"/>
    <s v="FR-500-GE-0200-2022"/>
    <s v="N/A"/>
    <s v="Suministro de Equipo Cabrestante Portacarrete Portatil Motorizado"/>
    <n v="269000000"/>
    <s v="28 de noviembre 2022"/>
    <s v="900-IP-0474-2022"/>
    <m/>
    <n v="202203909"/>
    <m/>
    <s v="N/A"/>
    <s v="N/A"/>
    <s v="N/A"/>
    <x v="2"/>
    <s v="JULIETA ORTIZ"/>
    <d v="2022-07-28T00:00:00"/>
    <n v="48"/>
    <n v="48"/>
    <s v="SI"/>
    <s v="Entregado al area"/>
    <x v="1"/>
    <s v="2 DE AGOSTO EN SOLICITUD DE CONCEPTOS  5 de agosto esta en espera de las polizas"/>
    <s v="Se presento un error en la expedicion de las polizas pór parte del tomador de seguros,.  La jefe se comunico con seguros  para que hicieran la correccion"/>
    <d v="2022-08-22T00:00:00"/>
    <s v="Aug"/>
    <m/>
    <n v="25"/>
    <n v="25"/>
    <s v="G"/>
    <s v="INVERSION"/>
    <s v="500-AO-2104-2022"/>
    <d v="2022-08-10T00:00:00"/>
    <n v="267738100"/>
    <s v="SUMINISTROS Y SERICIOS TECNICOS SOCIEDAD POR ACCIONES SIMPLIFIADA"/>
    <m/>
    <n v="1261900"/>
    <m/>
    <m/>
    <m/>
    <m/>
    <m/>
    <s v="CALI"/>
    <s v="LOCAL"/>
    <s v="UNIDAD DE MANTENIMIENTO"/>
    <n v="4.6910780669144978E-3"/>
    <n v="1"/>
    <n v="1"/>
  </r>
  <r>
    <n v="432"/>
    <s v="0475"/>
    <s v="GUENAA"/>
    <d v="2022-07-29T00:00:00"/>
    <x v="7"/>
    <s v="PENDIENTE"/>
    <s v="FR-300-GAA-0124-2022"/>
    <s v="N/A"/>
    <s v="Servicio de transporte, recolección y disposición de arenas, hilazas y biosolidos generados en el tratamiento de las aguas residuales en la PTAR-C"/>
    <n v="299999952"/>
    <s v="3 MESES"/>
    <s v="900-IP-0475-2022"/>
    <m/>
    <n v="202201857"/>
    <n v="300000000"/>
    <s v="N/A"/>
    <s v="N/A"/>
    <s v="N/A"/>
    <x v="2"/>
    <s v="ANA MARIA GIL"/>
    <d v="2022-08-01T00:00:00"/>
    <n v="47"/>
    <n v="44"/>
    <s v="SI"/>
    <s v="Entregado al area"/>
    <x v="1"/>
    <s v="5 DE AGOSTO EN  RECEPCION DE LA OFERTA"/>
    <m/>
    <d v="2022-08-25T00:00:00"/>
    <s v="Aug"/>
    <m/>
    <n v="27"/>
    <n v="24"/>
    <s v="G"/>
    <s v="FUNCIONAMIENTO"/>
    <s v="300-AO-2097-2022"/>
    <d v="2022-08-10T00:00:00"/>
    <n v="299999952"/>
    <s v="MULTISERVICIOS CAÑAMIEL  SAS"/>
    <n v="202207801"/>
    <n v="0"/>
    <m/>
    <m/>
    <m/>
    <m/>
    <m/>
    <m/>
    <m/>
    <m/>
    <n v="0"/>
    <n v="1"/>
    <n v="1"/>
  </r>
  <r>
    <n v="433"/>
    <s v="0476"/>
    <s v="GAGHA"/>
    <d v="2022-07-29T00:00:00"/>
    <x v="7"/>
    <s v="GHA0065_x000a_GHA0067"/>
    <s v="FR-800-GHA-0177-2022"/>
    <s v="N/A"/>
    <s v="Realizar la compra de elementos de aseo y cafetería para EMCALI EICE ESP"/>
    <n v="84055124"/>
    <s v="28 DE NOVIEMBRE 2022"/>
    <s v="900-IP-0476-2022"/>
    <m/>
    <s v="202204454_x000a_202203557_x000a_202205128"/>
    <m/>
    <s v="N/A"/>
    <s v="N/A"/>
    <s v="N/A"/>
    <x v="2"/>
    <s v="PAOLA BELTRAN"/>
    <d v="2022-08-05T00:00:00"/>
    <e v="#VALUE!"/>
    <e v="#VALUE!"/>
    <s v="SI"/>
    <s v="Entregado al area"/>
    <x v="1"/>
    <s v="18 DE AGOSTO EN ELABORACION DE  INVITACION"/>
    <m/>
    <d v="2022-09-14T00:00:00"/>
    <s v="Sep"/>
    <m/>
    <n v="47"/>
    <n v="40"/>
    <s v="G"/>
    <s v="FUNCIONAMIENTO"/>
    <s v="800-AO-2275-2022"/>
    <d v="2022-09-12T00:00:00"/>
    <n v="83956858"/>
    <s v="AS DISTRIBUCION INSTITUCIONAL SAS"/>
    <n v="202208405"/>
    <n v="98266"/>
    <m/>
    <m/>
    <m/>
    <m/>
    <m/>
    <s v="CALI"/>
    <s v="LOCAL"/>
    <m/>
    <n v="1.1690661475914307E-3"/>
    <n v="0"/>
    <n v="1"/>
  </r>
  <r>
    <n v="434"/>
    <s v="0477"/>
    <s v="GTI"/>
    <d v="2022-07-29T00:00:00"/>
    <x v="7"/>
    <s v="GTI0191"/>
    <s v="FR-200-GTI-0110-2022"/>
    <s v="N/A"/>
    <s v="Actualización por un(1) año de la Licencia de Infowater a través de la cual opera el Modelo de Simulación Hidráulica de Acueducto en el Centro de Control Maestro de la UENAA"/>
    <n v="35000000"/>
    <m/>
    <m/>
    <s v=""/>
    <n v="202203030"/>
    <m/>
    <s v="N/A"/>
    <s v="N/A"/>
    <s v="N/A"/>
    <x v="3"/>
    <s v="CAMILO NUÑEZ"/>
    <d v="2022-08-01T00:00:00"/>
    <e v="#VALUE!"/>
    <e v="#VALUE!"/>
    <s v="NO"/>
    <s v="Devuelto"/>
    <x v="2"/>
    <m/>
    <s v="DEVUELTO PORQUE ES UN PROCESO SAM"/>
    <d v="2022-08-17T00:00:00"/>
    <m/>
    <s v="ago"/>
    <n v="19"/>
    <n v="16"/>
    <s v="C"/>
    <s v="FUNCIONAMIENTO_x000a_INVERSION"/>
    <m/>
    <m/>
    <m/>
    <m/>
    <m/>
    <m/>
    <m/>
    <m/>
    <m/>
    <m/>
    <m/>
    <m/>
    <m/>
    <m/>
    <m/>
    <n v="0"/>
    <m/>
  </r>
  <r>
    <n v="435"/>
    <s v="0478"/>
    <s v="GTI"/>
    <d v="2022-07-29T00:00:00"/>
    <x v="7"/>
    <s v="GTI0189"/>
    <s v="FR-200-GTI-0109-2022"/>
    <s v="N/A"/>
    <s v="Actualización del Licenciamiento del Software ArcGIS sobre el cual, opera el sistema de información Geográfica de la UENAA"/>
    <n v="260464881"/>
    <m/>
    <m/>
    <s v=""/>
    <n v="202203588"/>
    <m/>
    <s v="N/A"/>
    <s v="N/A"/>
    <s v="N/A"/>
    <x v="3"/>
    <s v="CAMILO NUÑEZ"/>
    <d v="2022-08-01T00:00:00"/>
    <e v="#VALUE!"/>
    <e v="#VALUE!"/>
    <s v="NO"/>
    <s v="Devuelto"/>
    <x v="2"/>
    <m/>
    <s v="DEVUELTO PORQUE ES UN PROCESO SAM"/>
    <d v="2022-08-17T00:00:00"/>
    <m/>
    <s v="ago"/>
    <n v="19"/>
    <n v="16"/>
    <s v="C"/>
    <s v="FUNCIONAMIENTO_x000a_INVERSION"/>
    <m/>
    <m/>
    <m/>
    <m/>
    <m/>
    <m/>
    <m/>
    <m/>
    <m/>
    <m/>
    <m/>
    <m/>
    <m/>
    <m/>
    <m/>
    <n v="0"/>
    <m/>
  </r>
  <r>
    <n v="436"/>
    <s v="0479"/>
    <s v="GUENT"/>
    <d v="2022-07-01T00:00:00"/>
    <x v="7"/>
    <s v="GT0240"/>
    <s v="FR-400-GT-0195-2022"/>
    <s v="N/A"/>
    <s v="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
    <n v="499939720"/>
    <s v="4,5 MESES"/>
    <s v="900-IP-0479-2022"/>
    <m/>
    <n v="202205147"/>
    <m/>
    <s v="N/A"/>
    <s v="N/A"/>
    <s v="N/A"/>
    <x v="2"/>
    <s v="LAURA ANGEL"/>
    <d v="2022-08-03T00:00:00"/>
    <n v="75"/>
    <n v="42"/>
    <s v="SI"/>
    <s v="Entregado al area"/>
    <x v="1"/>
    <m/>
    <m/>
    <d v="2022-08-19T00:00:00"/>
    <s v="Aug"/>
    <m/>
    <n v="49"/>
    <n v="16"/>
    <s v="G"/>
    <s v="FUNCIONAMIENTO"/>
    <s v="400-AO-2156-2022"/>
    <d v="2022-08-16T00:00:00"/>
    <n v="499140720"/>
    <s v="COMERCIALIZADORA DE BIENES Y SERVICIOS SOLUCIONAMOS SAS"/>
    <n v="202207831"/>
    <n v="799000"/>
    <m/>
    <m/>
    <m/>
    <m/>
    <m/>
    <s v="CALI"/>
    <s v="LOCAL"/>
    <m/>
    <n v="1.598192678109273E-3"/>
    <n v="1"/>
    <n v="1"/>
  </r>
  <r>
    <n v="437"/>
    <s v="0480"/>
    <m/>
    <d v="2022-08-01T00:00:00"/>
    <x v="8"/>
    <m/>
    <m/>
    <s v="N/A"/>
    <s v="ANULADO"/>
    <m/>
    <m/>
    <m/>
    <s v=""/>
    <m/>
    <m/>
    <s v="N/A"/>
    <s v="N/A"/>
    <s v="N/A"/>
    <x v="3"/>
    <s v="MONICA DHARO"/>
    <d v="2022-08-01T00:00:00"/>
    <e v="#VALUE!"/>
    <e v="#VALUE!"/>
    <s v="SI"/>
    <s v="Inicio Proceso"/>
    <x v="0"/>
    <m/>
    <m/>
    <d v="2022-08-01T00:00:00"/>
    <m/>
    <s v="ago"/>
    <n v="0"/>
    <n v="0"/>
    <s v="N/A"/>
    <s v="N/A"/>
    <m/>
    <m/>
    <m/>
    <m/>
    <m/>
    <m/>
    <m/>
    <m/>
    <m/>
    <m/>
    <m/>
    <m/>
    <m/>
    <m/>
    <m/>
    <n v="0"/>
    <m/>
  </r>
  <r>
    <n v="438"/>
    <s v="0481"/>
    <m/>
    <d v="2022-08-01T00:00:00"/>
    <x v="8"/>
    <m/>
    <m/>
    <s v="N/A"/>
    <s v="ANULADO"/>
    <m/>
    <m/>
    <m/>
    <s v=""/>
    <m/>
    <m/>
    <s v="N/A"/>
    <s v="N/A"/>
    <s v="N/A"/>
    <x v="3"/>
    <s v="MONICA DHARO"/>
    <d v="2022-08-01T00:00:00"/>
    <e v="#VALUE!"/>
    <e v="#VALUE!"/>
    <s v="SI"/>
    <s v="Inicio Proceso"/>
    <x v="0"/>
    <m/>
    <m/>
    <d v="2022-08-01T00:00:00"/>
    <m/>
    <s v="ago"/>
    <n v="0"/>
    <n v="0"/>
    <s v="N/A"/>
    <s v="N/A"/>
    <m/>
    <m/>
    <m/>
    <m/>
    <m/>
    <m/>
    <m/>
    <m/>
    <m/>
    <m/>
    <m/>
    <m/>
    <m/>
    <m/>
    <m/>
    <n v="0"/>
    <m/>
  </r>
  <r>
    <n v="439"/>
    <s v="0482"/>
    <m/>
    <d v="2022-08-01T00:00:00"/>
    <x v="8"/>
    <m/>
    <m/>
    <s v="N/A"/>
    <s v="ANULADO"/>
    <m/>
    <m/>
    <m/>
    <s v=""/>
    <m/>
    <m/>
    <s v="N/A"/>
    <s v="N/A"/>
    <s v="N/A"/>
    <x v="3"/>
    <s v="MONICA DHARO"/>
    <d v="2022-08-01T00:00:00"/>
    <e v="#VALUE!"/>
    <e v="#VALUE!"/>
    <s v="SI"/>
    <s v="Inicio Proceso"/>
    <x v="0"/>
    <m/>
    <m/>
    <d v="2022-08-01T00:00:00"/>
    <m/>
    <s v="ago"/>
    <n v="0"/>
    <n v="0"/>
    <s v="N/A"/>
    <s v="N/A"/>
    <m/>
    <m/>
    <m/>
    <m/>
    <m/>
    <m/>
    <m/>
    <m/>
    <m/>
    <m/>
    <m/>
    <m/>
    <m/>
    <m/>
    <m/>
    <n v="0"/>
    <m/>
  </r>
  <r>
    <n v="440"/>
    <s v="0483"/>
    <s v="GUENAA"/>
    <d v="2022-08-02T00:00:00"/>
    <x v="8"/>
    <s v="GAA0772"/>
    <s v="FR-300-GAA-0213-2022"/>
    <s v="N/A"/>
    <s v="Mantenimiento Preventivo para los variadores de velocidad del LMA."/>
    <n v="2748900"/>
    <m/>
    <s v="900-IP-0483-2022"/>
    <m/>
    <n v="202205145"/>
    <m/>
    <s v="N/A"/>
    <s v="N/A"/>
    <s v="N/A"/>
    <x v="2"/>
    <s v="JESSICA ROJAS"/>
    <d v="2022-08-02T00:00:00"/>
    <n v="98"/>
    <n v="98"/>
    <s v="SI"/>
    <s v="Entregado al area"/>
    <x v="1"/>
    <s v="28 DE SEPTIEMBRE EN SOLICITUD DE POLIZAS"/>
    <m/>
    <d v="2022-10-12T00:00:00"/>
    <s v="Oct"/>
    <n v="71"/>
    <m/>
    <n v="71"/>
    <s v="G"/>
    <s v="FUNCIONAMIENTO"/>
    <s v="300-AO-2257-2022"/>
    <d v="2022-09-07T00:00:00"/>
    <n v="2748900"/>
    <s v="TECNICAS EN  AUTOMATIZACION Y CONTROL SAS "/>
    <n v="202208319"/>
    <n v="0"/>
    <s v="CALI"/>
    <s v="LOCAL"/>
    <m/>
    <m/>
    <m/>
    <m/>
    <m/>
    <m/>
    <n v="0"/>
    <n v="1"/>
    <n v="1"/>
  </r>
  <r>
    <n v="441"/>
    <s v="0484"/>
    <s v="GUENAA"/>
    <d v="2022-08-02T00:00:00"/>
    <x v="8"/>
    <s v="GAA0677"/>
    <s v="FR-300-GAA-0215-2022"/>
    <s v="N/A"/>
    <s v="Mantenimiento Tablet's  marca ZEBRA del Laboratorio de Medidores Acueducto."/>
    <n v="6631930"/>
    <s v="120 DIAS"/>
    <s v="900-IP-484-2022"/>
    <m/>
    <n v="202205244"/>
    <n v="6631930"/>
    <s v="N/A"/>
    <s v="N/A"/>
    <s v="N/A"/>
    <x v="2"/>
    <s v="NINFA SANTANA"/>
    <d v="2022-08-03T00:00:00"/>
    <n v="43"/>
    <n v="42"/>
    <s v="SI"/>
    <s v="Entregado al area"/>
    <x v="1"/>
    <m/>
    <m/>
    <d v="2022-08-30T00:00:00"/>
    <s v="Aug"/>
    <m/>
    <n v="28"/>
    <n v="27"/>
    <s v="G"/>
    <s v="FUNCIONAMIENTO"/>
    <s v="300-AO-2210-2022"/>
    <d v="2022-08-26T00:00:00"/>
    <n v="6631930"/>
    <s v="LINEADATASCAN SA"/>
    <m/>
    <n v="0"/>
    <m/>
    <m/>
    <m/>
    <m/>
    <m/>
    <s v="CALI"/>
    <s v="LOCAL"/>
    <m/>
    <n v="0"/>
    <n v="1"/>
    <n v="1"/>
  </r>
  <r>
    <n v="442"/>
    <s v="0485"/>
    <s v="GUENT"/>
    <d v="2022-08-02T00:00:00"/>
    <x v="8"/>
    <s v="GT0141"/>
    <s v="FR-400-GT-0151-2022"/>
    <s v="N/A"/>
    <s v="Suministro de elementos para el mantenimiento de los radio enlaces que permita garantizar la disponibilidad y calidad del servicio exigida por los usuarios y cumplir con normatividad que rigen los servicios públicos de Telecomunicaciones en Colombia"/>
    <n v="498845738"/>
    <s v="28 DE NOVIEMBRE 2022"/>
    <s v="900-IP-0485-2022"/>
    <m/>
    <n v="202202411"/>
    <n v="503813789"/>
    <s v="N/A"/>
    <s v="N/A"/>
    <s v="N/A"/>
    <x v="2"/>
    <s v="HAROLD MONDRAGON"/>
    <d v="2022-08-03T00:00:00"/>
    <e v="#VALUE!"/>
    <e v="#VALUE!"/>
    <s v="SI"/>
    <s v="Entregado al area"/>
    <x v="1"/>
    <m/>
    <m/>
    <d v="2022-09-08T00:00:00"/>
    <s v="Sep"/>
    <m/>
    <n v="37"/>
    <n v="36"/>
    <s v="G"/>
    <s v="FUNCIONAMIENTO"/>
    <s v="400-AO-2246-2022"/>
    <d v="2022-09-05T00:00:00"/>
    <n v="498814757"/>
    <s v="MAICROTEL SAS"/>
    <n v="202208317"/>
    <n v="30981"/>
    <m/>
    <m/>
    <m/>
    <m/>
    <m/>
    <s v="BOGOTA"/>
    <s v="NACIONAL"/>
    <m/>
    <n v="6.2105371741193467E-5"/>
    <n v="1"/>
    <n v="1"/>
  </r>
  <r>
    <n v="443"/>
    <s v="0486"/>
    <s v="GUENAA"/>
    <d v="2022-08-02T00:00:00"/>
    <x v="8"/>
    <s v="PENDIENTE"/>
    <s v="FR-300-GAA-0076-2022"/>
    <s v="N/A"/>
    <s v="Suministro de equipos y Elementos para la medición de variables para el proceso de tratamiento de la PTAR-C"/>
    <n v="207605670"/>
    <s v="28 DE  NOVIEMBRE 2022"/>
    <s v="900-IP-0486-2022"/>
    <m/>
    <n v="202202669"/>
    <n v="211028000"/>
    <s v="N/A"/>
    <s v="N/A"/>
    <s v="N/A"/>
    <x v="2"/>
    <s v="JULIO GARCIA"/>
    <d v="2022-08-02T00:00:00"/>
    <e v="#VALUE!"/>
    <e v="#VALUE!"/>
    <s v="SI"/>
    <s v="Entregado al area"/>
    <x v="1"/>
    <m/>
    <m/>
    <d v="2022-09-16T00:00:00"/>
    <s v="Sep"/>
    <m/>
    <n v="45"/>
    <n v="45"/>
    <s v="G"/>
    <s v="INVERSION"/>
    <s v="300-AO-2280-2022"/>
    <d v="2022-09-14T00:00:00"/>
    <n v="206567640"/>
    <s v="EPRING SAS"/>
    <n v="202208411"/>
    <n v="1038030"/>
    <m/>
    <m/>
    <m/>
    <m/>
    <m/>
    <s v="CALI"/>
    <s v="LOCAL"/>
    <m/>
    <n v="5.000007947759808E-3"/>
    <n v="1"/>
    <n v="1"/>
  </r>
  <r>
    <n v="444"/>
    <s v="0487"/>
    <s v="GUENAA"/>
    <d v="2022-08-03T00:00:00"/>
    <x v="8"/>
    <s v="PENDIENTE"/>
    <s v="FR-300-GAA-0087-2022"/>
    <s v="N/A"/>
    <s v="Suministro de equipos de Automatismo y Telemetría"/>
    <n v="244211285"/>
    <s v="60 DIAS"/>
    <s v="900-IP-0487-2022"/>
    <m/>
    <n v="202201156"/>
    <m/>
    <s v="N/A"/>
    <s v="N/A"/>
    <s v="N/A"/>
    <x v="2"/>
    <s v="LINA ECHAVARRIA"/>
    <d v="2022-08-03T00:00:00"/>
    <n v="42"/>
    <n v="42"/>
    <s v="SI"/>
    <s v="Entregado al area"/>
    <x v="1"/>
    <m/>
    <m/>
    <d v="2022-08-29T00:00:00"/>
    <s v="Aug"/>
    <m/>
    <n v="26"/>
    <n v="26"/>
    <s v="G"/>
    <s v="INVERSION"/>
    <s v="300-AO-2201-2022"/>
    <d v="2022-08-24T00:00:00"/>
    <n v="243478651"/>
    <s v="EPRING SAS"/>
    <n v="202207946"/>
    <n v="732634"/>
    <m/>
    <m/>
    <m/>
    <m/>
    <m/>
    <m/>
    <m/>
    <m/>
    <n v="3.0000005937481553E-3"/>
    <n v="1"/>
    <n v="1"/>
  </r>
  <r>
    <n v="445"/>
    <s v="0488"/>
    <s v="GF"/>
    <d v="2022-08-03T00:00:00"/>
    <x v="8"/>
    <s v="GF0064"/>
    <s v="FR-700-GF-0063-2022"/>
    <s v="N/A"/>
    <s v="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
    <n v="400000000"/>
    <s v="28 DE NOVIEMBRE 2022"/>
    <s v="900-IP-0488-2022"/>
    <m/>
    <n v="202205566"/>
    <m/>
    <s v="N/A"/>
    <s v="N/A"/>
    <s v="N/A"/>
    <x v="2"/>
    <s v="LAURA PIMIENTA"/>
    <d v="2022-08-05T00:00:00"/>
    <e v="#VALUE!"/>
    <e v="#VALUE!"/>
    <s v="SI"/>
    <s v="Entregado al area"/>
    <x v="1"/>
    <m/>
    <m/>
    <d v="2022-09-19T00:00:00"/>
    <s v="Sep"/>
    <m/>
    <n v="47"/>
    <n v="45"/>
    <s v="G"/>
    <s v="FUNCIONAMIENTO"/>
    <s v="700-AO-2276-2022"/>
    <d v="2022-09-09T00:00:00"/>
    <n v="400000000"/>
    <s v="SINERJOY BPO SAS"/>
    <n v="202208378"/>
    <n v="0"/>
    <m/>
    <m/>
    <m/>
    <m/>
    <m/>
    <s v="CALI"/>
    <s v="LOCAL"/>
    <m/>
    <n v="0"/>
    <n v="0"/>
    <n v="1"/>
  </r>
  <r>
    <n v="446"/>
    <s v="0489"/>
    <s v="GUENE"/>
    <d v="2022-08-04T00:00:00"/>
    <x v="8"/>
    <s v="GE0360"/>
    <s v="FR-500-GE-0229-2022"/>
    <s v="N/A"/>
    <s v="Realizar Publicación del Plan de Inversión Vigencia 2021"/>
    <n v="7380000"/>
    <s v="60 DIAS"/>
    <s v="900-IP-0489-2022"/>
    <m/>
    <n v="202205342"/>
    <n v="7380000"/>
    <s v="N/A"/>
    <s v="N/A"/>
    <s v="N/A"/>
    <x v="2"/>
    <s v="LAURA ANGEL"/>
    <d v="2022-08-05T00:00:00"/>
    <n v="41"/>
    <n v="40"/>
    <s v="SI"/>
    <s v="Entregado al area"/>
    <x v="1"/>
    <m/>
    <m/>
    <d v="2022-08-26T00:00:00"/>
    <s v="Aug"/>
    <m/>
    <n v="22"/>
    <n v="21"/>
    <s v="G"/>
    <s v="FUNCIONAMIENTO"/>
    <s v="500-AO-2184-2022"/>
    <d v="2022-08-23T00:00:00"/>
    <n v="7380000"/>
    <s v="NUEVO DIAIRO DE OCCIDENTE  SAS"/>
    <n v="202207891"/>
    <n v="0"/>
    <m/>
    <m/>
    <m/>
    <m/>
    <m/>
    <s v="CALI"/>
    <s v="LOCAL"/>
    <m/>
    <n v="0"/>
    <n v="1"/>
    <n v="1"/>
  </r>
  <r>
    <n v="447"/>
    <s v="0490"/>
    <s v="GUENE"/>
    <d v="2022-08-04T00:00:00"/>
    <x v="8"/>
    <s v="GE0352"/>
    <s v="FR-500-GE-0231-2022"/>
    <s v="N/A"/>
    <s v="Suministro Transformadores de Corriente"/>
    <n v="449226785"/>
    <m/>
    <s v="900-IP-0490-2022"/>
    <s v="IP-"/>
    <n v="202205366"/>
    <n v="449226785"/>
    <s v="N/A"/>
    <s v="N/A"/>
    <s v="N/A"/>
    <x v="2"/>
    <s v="LINA ECHAVARRIA"/>
    <d v="2022-08-05T00:00:00"/>
    <e v="#VALUE!"/>
    <e v="#VALUE!"/>
    <s v="NO"/>
    <s v="Cerrado"/>
    <x v="0"/>
    <m/>
    <m/>
    <d v="2022-09-23T00:00:00"/>
    <m/>
    <s v="sep"/>
    <n v="50"/>
    <n v="49"/>
    <m/>
    <s v="INVERSION"/>
    <m/>
    <m/>
    <m/>
    <m/>
    <m/>
    <m/>
    <m/>
    <m/>
    <m/>
    <m/>
    <m/>
    <m/>
    <m/>
    <m/>
    <m/>
    <n v="1"/>
    <m/>
  </r>
  <r>
    <n v="448"/>
    <s v="0491"/>
    <s v="GUENE"/>
    <d v="2022-08-04T00:00:00"/>
    <x v="8"/>
    <s v="GE0276"/>
    <s v="FR-500-GE-0232-2022"/>
    <s v="N/A"/>
    <s v="Suministro de Conectores de Perforación"/>
    <n v="161640675"/>
    <m/>
    <s v="900-IPU-0491-2022"/>
    <s v="IPU"/>
    <n v="202205359"/>
    <m/>
    <s v="N/A"/>
    <s v="N/A"/>
    <s v="N/A"/>
    <x v="0"/>
    <s v="JULIETA ORTIZ"/>
    <d v="2022-08-05T00:00:00"/>
    <e v="#VALUE!"/>
    <e v="#VALUE!"/>
    <s v="NO"/>
    <s v="Devuelto"/>
    <x v="2"/>
    <m/>
    <m/>
    <d v="2022-08-29T00:00:00"/>
    <m/>
    <s v="ago"/>
    <n v="25"/>
    <n v="24"/>
    <m/>
    <s v="INVERSION"/>
    <m/>
    <m/>
    <m/>
    <m/>
    <m/>
    <m/>
    <m/>
    <m/>
    <m/>
    <m/>
    <m/>
    <m/>
    <m/>
    <m/>
    <m/>
    <n v="1"/>
    <m/>
  </r>
  <r>
    <n v="449"/>
    <s v="0492"/>
    <s v="GUENE"/>
    <d v="2022-08-04T00:00:00"/>
    <x v="8"/>
    <s v="GE0354"/>
    <s v="FR-500-GE-0233-2022"/>
    <s v="N/A"/>
    <s v="Suministro de cajas de Policarbonato Polifásicas"/>
    <n v="326844210"/>
    <s v="60 DIAS"/>
    <s v="900-IP-0492-2022"/>
    <m/>
    <n v="202205358"/>
    <n v="326844210"/>
    <s v="N/A"/>
    <s v="N/A"/>
    <s v="N/A"/>
    <x v="2"/>
    <s v="JULIETA ORTIZ"/>
    <d v="2022-08-05T00:00:00"/>
    <e v="#VALUE!"/>
    <e v="#VALUE!"/>
    <s v="SI"/>
    <s v="Entregado al area"/>
    <x v="1"/>
    <m/>
    <m/>
    <d v="2022-09-21T00:00:00"/>
    <s v="Sep"/>
    <m/>
    <n v="48"/>
    <n v="47"/>
    <s v="G"/>
    <s v="INVERSION"/>
    <s v="500-AO-2369-2022"/>
    <d v="2022-09-15T00:00:00"/>
    <n v="326844210"/>
    <s v="compañía  DE PARTES Y ACCESORIOS SAS"/>
    <m/>
    <n v="0"/>
    <m/>
    <m/>
    <m/>
    <m/>
    <m/>
    <s v="BOGOTA"/>
    <s v="NACIONAL"/>
    <m/>
    <n v="0"/>
    <n v="1"/>
    <n v="1"/>
  </r>
  <r>
    <n v="450"/>
    <s v="0493"/>
    <s v="GUENE"/>
    <d v="2022-08-04T00:00:00"/>
    <x v="8"/>
    <s v="GE0353"/>
    <s v="FR-500-GE-0234-2022"/>
    <s v="N/A"/>
    <s v="Suministro de MODEM 4G"/>
    <n v="1137561579"/>
    <m/>
    <s v="900-IPU-0493-2022"/>
    <s v="IPU"/>
    <n v="202205357"/>
    <n v="1137561579"/>
    <s v="N/A"/>
    <s v="N/A"/>
    <s v="N/A"/>
    <x v="0"/>
    <s v="LINA ECHAVARRIA"/>
    <d v="2022-08-05T00:00:00"/>
    <e v="#VALUE!"/>
    <e v="#VALUE!"/>
    <m/>
    <s v="Cerrado"/>
    <x v="0"/>
    <d v="2022-12-09T00:00:00"/>
    <s v="28 DE SEPTIEMBRE 2022 EN EVALUACION SOBRE 1"/>
    <d v="2022-12-14T00:00:00"/>
    <m/>
    <s v="dic"/>
    <n v="132"/>
    <n v="131"/>
    <m/>
    <s v="INVERSION"/>
    <m/>
    <m/>
    <m/>
    <m/>
    <m/>
    <m/>
    <m/>
    <m/>
    <m/>
    <m/>
    <m/>
    <m/>
    <m/>
    <m/>
    <m/>
    <n v="1"/>
    <m/>
  </r>
  <r>
    <n v="451"/>
    <s v="0494"/>
    <s v="GUENAA"/>
    <d v="2022-08-04T00:00:00"/>
    <x v="8"/>
    <s v="PENDIENTE"/>
    <s v="FR-300-GAA-0136-2022"/>
    <s v="N/A"/>
    <s v="Suministro e Instalación equipos de Instrumentación y Automatización"/>
    <n v="97403342"/>
    <s v="90 DIAS"/>
    <s v="900-IP-0494-2022"/>
    <m/>
    <n v="202203123"/>
    <m/>
    <s v="N/A"/>
    <s v="N/A"/>
    <s v="N/A"/>
    <x v="2"/>
    <s v="ANA MARIA GIL"/>
    <d v="2022-08-04T00:00:00"/>
    <e v="#VALUE!"/>
    <e v="#VALUE!"/>
    <s v="SI"/>
    <s v="Entregado al area"/>
    <x v="1"/>
    <m/>
    <m/>
    <d v="2022-09-21T00:00:00"/>
    <s v="Sep"/>
    <m/>
    <n v="48"/>
    <n v="48"/>
    <s v="G"/>
    <s v="INVERSION"/>
    <s v="300-AO-2252-2022"/>
    <d v="2022-09-05T00:00:00"/>
    <n v="97196142"/>
    <s v="DESARROLLO DE SISTEMAS DE CONTROL SOCIEDAD POR ACCIONES  SIMPLIFICADA"/>
    <n v="202208385"/>
    <n v="207200"/>
    <m/>
    <m/>
    <m/>
    <m/>
    <m/>
    <m/>
    <m/>
    <m/>
    <n v="2.1272370715986317E-3"/>
    <n v="1"/>
    <n v="1"/>
  </r>
  <r>
    <n v="452"/>
    <s v="0495"/>
    <s v="GAGHA"/>
    <d v="2022-08-08T00:00:00"/>
    <x v="8"/>
    <s v="PENDIENTE"/>
    <s v="FR-800-GHA-0138-2022"/>
    <s v="N/A"/>
    <s v="Realizar la compra de un (1) camión de dos toneladas tipo furgón 4x2, con las adecuaciones requeridas por EMCALI EICE ESP, incluyendo el servicio de diez (10) mantenimientos preventivos"/>
    <n v="197470000"/>
    <s v="28 DE NOVIEMBRE 2022"/>
    <s v="900-IP-0495-2022"/>
    <m/>
    <n v="202202364"/>
    <n v="197470000"/>
    <s v="N/A"/>
    <s v="N/A"/>
    <s v="N/A"/>
    <x v="2"/>
    <s v="LEIDY FRANCO"/>
    <d v="2022-08-08T00:00:00"/>
    <e v="#VALUE!"/>
    <e v="#VALUE!"/>
    <s v="SI"/>
    <s v="Entregado al area"/>
    <x v="1"/>
    <m/>
    <m/>
    <d v="2022-09-12T00:00:00"/>
    <s v="Sep"/>
    <m/>
    <n v="35"/>
    <n v="35"/>
    <s v="G"/>
    <s v="FUNCIONAMIENTO"/>
    <s v="800-AO-2226-2022"/>
    <d v="2022-08-31T00:00:00"/>
    <n v="172639000"/>
    <s v="AUTOPACIFICO  SA"/>
    <n v="202208351"/>
    <n v="24831000"/>
    <m/>
    <m/>
    <m/>
    <m/>
    <m/>
    <s v="CALI"/>
    <s v="LOCAL"/>
    <m/>
    <n v="0.12574568288854004"/>
    <n v="0"/>
    <n v="1"/>
  </r>
  <r>
    <n v="453"/>
    <s v="0496"/>
    <s v="GUENAA"/>
    <d v="2022-08-08T00:00:00"/>
    <x v="8"/>
    <s v="GAA0741_x000a_GAA0765"/>
    <s v="FR-300-GAA-0216-2022"/>
    <s v="300-CMA-1974-2020"/>
    <s v="Suministro de elementos de ferretería para la Unidad de Mantenimiento"/>
    <n v="168056255"/>
    <s v="18 DE NOVIEMBRE 2022"/>
    <s v="N/A"/>
    <m/>
    <s v="202204891_x000a_202204423"/>
    <m/>
    <s v="N/A"/>
    <s v="N/A"/>
    <s v="N/A"/>
    <x v="1"/>
    <s v="LUCY ARBELAEZ"/>
    <d v="2022-08-08T00:00:00"/>
    <e v="#VALUE!"/>
    <e v="#VALUE!"/>
    <s v="SI"/>
    <s v="Entregado al area"/>
    <x v="1"/>
    <m/>
    <m/>
    <d v="2022-09-05T00:00:00"/>
    <s v="Sep"/>
    <m/>
    <n v="28"/>
    <n v="28"/>
    <s v="N/A"/>
    <s v="FUNCIONAMIENTO"/>
    <s v="300-CMA-1974-2020/300-AO-2204-2022_x000a_300-CMA-1974-2020/300-AO-2205-2022"/>
    <d v="2022-08-25T00:00:00"/>
    <n v="167109193"/>
    <s v="EQUIPOS Y HERRAMIENTAS INDUSTRIALES SAS"/>
    <n v="202207954"/>
    <n v="947062"/>
    <m/>
    <m/>
    <m/>
    <m/>
    <m/>
    <m/>
    <m/>
    <m/>
    <n v="5.6353867935471967E-3"/>
    <n v="1"/>
    <n v="0"/>
  </r>
  <r>
    <n v="454"/>
    <s v="0497"/>
    <s v="GUENAA"/>
    <d v="2022-08-08T00:00:00"/>
    <x v="8"/>
    <s v="GAA0740"/>
    <s v="FR-300-GAA-0217-2022"/>
    <s v="N/A"/>
    <s v="Suministro de Rodamientos para las Unidades de Bombeo de Agua Cruda de la PTAP Puerto Mallarino"/>
    <n v="46084023"/>
    <s v="60 DIAS"/>
    <s v="900-IP-0497-2022"/>
    <m/>
    <n v="202204422"/>
    <n v="46084023"/>
    <s v="N/A"/>
    <s v="N/A"/>
    <s v="N/A"/>
    <x v="2"/>
    <s v="CARLOS RODRIGUEZ"/>
    <d v="2022-08-12T00:00:00"/>
    <e v="#VALUE!"/>
    <e v="#VALUE!"/>
    <s v="SI"/>
    <s v="Entregado al area"/>
    <x v="1"/>
    <m/>
    <m/>
    <d v="2022-09-23T00:00:00"/>
    <s v="Sep"/>
    <m/>
    <n v="46"/>
    <n v="42"/>
    <s v="G"/>
    <s v="INVERSION"/>
    <s v="300-AO-2320-2022"/>
    <d v="2022-09-15T00:00:00"/>
    <n v="45500000"/>
    <s v="FERRRETERIA SU PROVEEDOR SAS"/>
    <n v="202208444"/>
    <n v="584023"/>
    <m/>
    <m/>
    <m/>
    <m/>
    <m/>
    <s v="CALI"/>
    <s v="LOCAL"/>
    <m/>
    <n v="1.2673003830416455E-2"/>
    <n v="1"/>
    <n v="1"/>
  </r>
  <r>
    <n v="455"/>
    <s v="0498"/>
    <s v="GUENAA"/>
    <d v="2022-08-08T00:00:00"/>
    <x v="8"/>
    <s v="GAA0777"/>
    <s v="FR-300-GAA-0218-2022"/>
    <s v="N/A"/>
    <s v="Estudio Estadistico Ensayos de Aptitud para el Laboratorio de Medidores Acueducto."/>
    <n v="3474800"/>
    <s v="30 DIAS"/>
    <s v="900-IP-0218-2022"/>
    <m/>
    <n v="202205486"/>
    <n v="3474800"/>
    <s v="N/A"/>
    <s v="N/A"/>
    <s v="N/A"/>
    <x v="2"/>
    <s v="CARLOS RODRIGUEZ"/>
    <d v="2022-08-12T00:00:00"/>
    <e v="#VALUE!"/>
    <e v="#VALUE!"/>
    <s v="SI"/>
    <s v="Entregado al area"/>
    <x v="1"/>
    <m/>
    <m/>
    <d v="2022-09-26T00:00:00"/>
    <s v="Sep"/>
    <m/>
    <n v="49"/>
    <n v="45"/>
    <s v="G"/>
    <s v="FUNCIONAMIENTO"/>
    <s v="300-AO-2381-2022"/>
    <d v="2022-09-15T00:00:00"/>
    <n v="3474800"/>
    <s v="ENSAYOS DE APTITUD Y METROLOGIA DE COLOMBIA SAS"/>
    <n v="202208546"/>
    <n v="0"/>
    <m/>
    <m/>
    <m/>
    <m/>
    <m/>
    <s v="BOGOTA"/>
    <s v="NACIONAL"/>
    <m/>
    <n v="0"/>
    <n v="1"/>
    <n v="1"/>
  </r>
  <r>
    <n v="456"/>
    <s v="0499"/>
    <s v="GUENAA"/>
    <d v="2022-08-10T00:00:00"/>
    <x v="8"/>
    <s v="GAA0768_x000a_GAA0769"/>
    <s v="FR-300-GAA-0219-2022"/>
    <s v="300-CMA-1974-2020"/>
    <s v="Suministro materiales de ferreteria y tubería para la construcción para la Unidad de Atención Operativa de la UENAA/ Suministro de herramientas y equipos para la Unidad de Atención Operativa de la GUENAA"/>
    <n v="1799959803"/>
    <s v="18 DE NOVIEMBRE 2022"/>
    <s v="N/A"/>
    <m/>
    <s v="202204510_x000a_202204511_x000a_202204512"/>
    <n v="1799959803"/>
    <s v="N/A"/>
    <s v="N/A"/>
    <s v="N/A"/>
    <x v="1"/>
    <s v="LUCY ARBELAEZ"/>
    <d v="2022-08-10T00:00:00"/>
    <e v="#VALUE!"/>
    <e v="#VALUE!"/>
    <s v="SI"/>
    <s v="Entregado al area"/>
    <x v="1"/>
    <m/>
    <m/>
    <d v="2022-09-08T00:00:00"/>
    <s v="Sep"/>
    <m/>
    <n v="29"/>
    <n v="29"/>
    <s v="N/A"/>
    <s v="FUNCIONAMIENTO"/>
    <s v="300-CMA-1974-2020/300-AO-2242-2022_x000a_300-CMA-1974-2020/300-AO-2242-2022"/>
    <d v="2022-09-15T00:00:00"/>
    <n v="1783140684"/>
    <s v="EQUIPOS Y HERRAMIENTAS INDUSTRIALES"/>
    <n v="202208290"/>
    <n v="16819119"/>
    <m/>
    <m/>
    <m/>
    <m/>
    <m/>
    <s v="CALI"/>
    <s v="LOCAL"/>
    <m/>
    <n v="9.3441636707483743E-3"/>
    <n v="1"/>
    <n v="0"/>
  </r>
  <r>
    <n v="457"/>
    <s v="0500"/>
    <s v="GAGHA"/>
    <d v="2022-08-10T00:00:00"/>
    <x v="8"/>
    <s v="GHA0236"/>
    <s v="FR-800-GHA-0159-2022"/>
    <s v="800-CMA-1914-2021"/>
    <s v="Realizar las actividades necesarias para llevar a cabo las adecuaciones locativas y mantenimiento preventivo y correctivo en la Gerencia de Unidad Estrategica de Negocio de Acueducto y Alcantarillado - Planta Calle 13, área auditorio"/>
    <n v="675958168"/>
    <s v="31 DE DICIEMBRE 2022"/>
    <s v="N/A"/>
    <m/>
    <n v="202203548"/>
    <n v="676000000"/>
    <s v="N/A"/>
    <s v="N/A"/>
    <s v="N/A"/>
    <x v="1"/>
    <s v="FRANCIA RAMÍREZ"/>
    <d v="2022-08-10T00:00:00"/>
    <e v="#VALUE!"/>
    <e v="#VALUE!"/>
    <s v="SI"/>
    <s v="Entregado al area"/>
    <x v="1"/>
    <m/>
    <m/>
    <d v="2022-09-26T00:00:00"/>
    <s v="Sep"/>
    <m/>
    <n v="47"/>
    <n v="47"/>
    <s v="N/A"/>
    <s v="FUNCIONAMIENTO"/>
    <s v="800-CMA-1914-2021/800-AO-2331-2022"/>
    <d v="2022-09-15T00:00:00"/>
    <n v="643929010"/>
    <s v="UNION TEMPORAL M&amp;C2021"/>
    <n v="202208538"/>
    <n v="32029158"/>
    <m/>
    <m/>
    <m/>
    <m/>
    <m/>
    <s v="CALI"/>
    <s v="LOCAL"/>
    <m/>
    <n v="4.7383343402398241E-2"/>
    <n v="0"/>
    <n v="0"/>
  </r>
  <r>
    <n v="458"/>
    <s v="0501"/>
    <s v="GAGHA"/>
    <d v="2022-08-10T00:00:00"/>
    <x v="8"/>
    <s v="GHA0264"/>
    <s v="FR-800-GHA-0179-2022"/>
    <s v="N/A"/>
    <s v="Realizar las actividades necesarias para construir un sistema de bombeo en el edificio Boulevar del Río de EMCALI"/>
    <n v="73187177"/>
    <s v="31 DE DICIEMBRE 2022"/>
    <s v="900-IP-0501-2022"/>
    <m/>
    <s v="202203556_x000a_202203592_x000a_202203629"/>
    <n v="73187177"/>
    <s v="N/A"/>
    <s v="N/A"/>
    <s v="N/A"/>
    <x v="2"/>
    <s v="JHON LARRY "/>
    <d v="2022-08-12T00:00:00"/>
    <e v="#VALUE!"/>
    <e v="#VALUE!"/>
    <s v="SI"/>
    <s v="Entregado al area"/>
    <x v="1"/>
    <m/>
    <m/>
    <d v="2022-09-23T00:00:00"/>
    <s v="Sep"/>
    <m/>
    <n v="44"/>
    <n v="42"/>
    <s v="G"/>
    <s v="FUNCIONAMIENTO"/>
    <s v="800-AO-2343-2022"/>
    <d v="2022-09-15T00:00:00"/>
    <n v="73187177"/>
    <s v="DIEGO MAURICIO ESTRADA CHAVEZ"/>
    <n v="202208575"/>
    <n v="0"/>
    <m/>
    <m/>
    <m/>
    <m/>
    <m/>
    <s v="CALI"/>
    <s v="LOCAL"/>
    <m/>
    <n v="0"/>
    <n v="0"/>
    <n v="1"/>
  </r>
  <r>
    <n v="459"/>
    <s v="0502"/>
    <s v="GAGHA"/>
    <d v="2022-08-10T00:00:00"/>
    <x v="8"/>
    <s v="GHA0069"/>
    <s v="FR-800-GHA-0186-2022"/>
    <s v="N/A"/>
    <s v="Realizar la compra de artículos de papelería, utiles de escritorio y oficina para las dependencias de EMCALI EICE ESP"/>
    <n v="489808988"/>
    <m/>
    <s v="900-IP-0502-2022"/>
    <s v="IP-"/>
    <s v="202204402_x000a_202204454_x000a_202202956_x000a_202203551_x000a_202203606_x000a_202201123_x000a_202205270"/>
    <m/>
    <s v="N/A"/>
    <s v="N/A"/>
    <s v="N/A"/>
    <x v="2"/>
    <s v="JULIETA ORTIZ"/>
    <d v="2022-08-12T00:00:00"/>
    <e v="#VALUE!"/>
    <e v="#VALUE!"/>
    <m/>
    <s v="Devuelto"/>
    <x v="2"/>
    <d v="2022-12-16T00:00:00"/>
    <s v="28 de septiembre en elaboracion de fpa e invitacion_x000a_12-11-2022 El FPA y La INVITACION PRIVADA ya fueron revisadas y se esta en el ajuste de las imputaciones presupuestales con el nuevo CDP expedido por SAP."/>
    <d v="2022-09-29T00:00:00"/>
    <m/>
    <s v="sep"/>
    <n v="50"/>
    <n v="48"/>
    <m/>
    <s v="FUNCIONAMIENTO"/>
    <m/>
    <m/>
    <m/>
    <m/>
    <m/>
    <m/>
    <m/>
    <m/>
    <m/>
    <m/>
    <m/>
    <m/>
    <m/>
    <m/>
    <m/>
    <n v="0"/>
    <m/>
  </r>
  <r>
    <n v="460"/>
    <s v="0503"/>
    <s v="GUENE"/>
    <d v="2022-08-11T00:00:00"/>
    <x v="8"/>
    <s v="GE0343"/>
    <s v="FR-500-GE-0241-2022"/>
    <s v="N/A"/>
    <s v="Suministro, montaje y puesta en funcionamiento de un Sistema Solar  Fotovoltaico de generación con potancia instalada en DC de 10 kWp, en el cliente Pranha Urbano Constructora"/>
    <n v="57218550"/>
    <m/>
    <s v="900-IP-0503-2022"/>
    <m/>
    <n v="202205609"/>
    <m/>
    <s v="N/A"/>
    <s v="N/A"/>
    <s v="N/A"/>
    <x v="2"/>
    <s v="PAOLA BELTRAN"/>
    <d v="2022-08-12T00:00:00"/>
    <n v="89"/>
    <n v="88"/>
    <s v="SI"/>
    <s v="Entregado al area"/>
    <x v="1"/>
    <s v="28 DE SEPTIEMBRE SOLICITUD DE POLIZAS"/>
    <m/>
    <d v="2022-10-18T00:00:00"/>
    <s v="Oct"/>
    <n v="68"/>
    <m/>
    <n v="67"/>
    <s v="G"/>
    <s v="INVERSION"/>
    <s v="500-AO-2344-2022"/>
    <d v="2022-09-15T00:00:00"/>
    <n v="57218550"/>
    <s v="WEEM ENERGY SAS"/>
    <n v="202208548"/>
    <n v="0"/>
    <s v="BOGOTA"/>
    <s v="NACIONAL"/>
    <m/>
    <m/>
    <m/>
    <m/>
    <m/>
    <m/>
    <n v="0"/>
    <n v="1"/>
    <n v="1"/>
  </r>
  <r>
    <n v="461"/>
    <s v="0504"/>
    <s v="GUENE"/>
    <d v="2022-08-11T00:00:00"/>
    <x v="8"/>
    <s v="GE0345"/>
    <s v="FR-500-GE-0242-2022"/>
    <s v="N/A"/>
    <s v="Suministro, montaje y puesta en funcionamiento de un Sistema Solar Fotovoltaico de generación con potencia instalada en DC de 20 kWp, en el cliente Centro Cultural de Cali."/>
    <n v="114437099"/>
    <m/>
    <s v="900-IP-0504-2022"/>
    <s v="IP-"/>
    <n v="202205611"/>
    <m/>
    <s v="N/A"/>
    <s v="N/A"/>
    <s v="N/A"/>
    <x v="2"/>
    <s v="PAOLA BELTRAN"/>
    <d v="2022-08-12T00:00:00"/>
    <e v="#VALUE!"/>
    <e v="#VALUE!"/>
    <s v="SI"/>
    <s v="Solicitud de Polizas y Rp"/>
    <x v="1"/>
    <m/>
    <s v="28 DE SEPTIEMBRE SOLICITUD DE POLIZAS"/>
    <d v="2022-10-10T00:00:00"/>
    <s v="Nov"/>
    <s v="oct"/>
    <n v="60"/>
    <n v="59"/>
    <s v="G"/>
    <s v="INVERSION"/>
    <s v="500-AO-2345-2022"/>
    <d v="2022-09-15T00:00:00"/>
    <n v="114437099"/>
    <s v="GRUPO DE INGENIERIA E INVERSIONES SAS"/>
    <n v="202208508"/>
    <n v="0"/>
    <m/>
    <m/>
    <m/>
    <m/>
    <m/>
    <m/>
    <m/>
    <m/>
    <n v="0"/>
    <n v="1"/>
    <n v="1"/>
  </r>
  <r>
    <n v="462"/>
    <s v="0505"/>
    <s v="GUENE"/>
    <d v="2022-08-11T00:00:00"/>
    <x v="8"/>
    <s v="GE0344"/>
    <s v="FR-500-GE-0243-2022"/>
    <s v="N/A"/>
    <s v="Suministro, montaje y puesta en funcionamiento de un Sistema Solar Fotovoltaico de generación con potencia instalada en DC de 12 kWp, en el cliente Institución Educativa Decepaz"/>
    <n v="68662260"/>
    <m/>
    <s v="900-IP-0505-2022"/>
    <s v="IP-"/>
    <n v="202205610"/>
    <m/>
    <s v="N/A"/>
    <s v="N/A"/>
    <s v="N/A"/>
    <x v="2"/>
    <s v="PAOLA BELTRAN"/>
    <d v="2022-08-12T00:00:00"/>
    <e v="#VALUE!"/>
    <e v="#VALUE!"/>
    <s v="SI"/>
    <s v="Solicitud de Polizas y Rp"/>
    <x v="1"/>
    <d v="2022-11-30T00:00:00"/>
    <s v="28 DE SEPTIEMBRE SOLICITUD DE POLIZAS"/>
    <d v="2022-10-10T00:00:00"/>
    <s v="Nov"/>
    <s v="oct"/>
    <n v="60"/>
    <n v="59"/>
    <s v="G"/>
    <s v="INVERSION"/>
    <s v="500-AO-2346-2022"/>
    <d v="2022-09-15T00:00:00"/>
    <n v="68662260"/>
    <s v="ENERWATTS INGENIERIA SAS "/>
    <n v="202208540"/>
    <n v="0"/>
    <m/>
    <m/>
    <m/>
    <m/>
    <m/>
    <m/>
    <m/>
    <m/>
    <n v="0"/>
    <n v="1"/>
    <n v="1"/>
  </r>
  <r>
    <n v="463"/>
    <s v="0506"/>
    <s v="GUENE"/>
    <d v="2022-08-11T00:00:00"/>
    <x v="8"/>
    <s v="GE0347"/>
    <s v="FR-500-GE-0245-2022"/>
    <s v="N/A"/>
    <s v="Suministro, montaje y puesta en funcionamiento de un Sistema Solar Fotovoltaico de generación con potencia instalada en DC de 200 kWp, para el cliente TELEFONICA DE COLON EMCALI"/>
    <n v="1032986133"/>
    <m/>
    <s v="900-IPU-0506-2022"/>
    <s v="IPU"/>
    <n v="202205613"/>
    <m/>
    <s v="N/A"/>
    <s v="N/A"/>
    <s v="N/A"/>
    <x v="0"/>
    <s v="PAOLA BELTRAN"/>
    <d v="2022-08-24T00:00:00"/>
    <e v="#VALUE!"/>
    <e v="#VALUE!"/>
    <s v="NO"/>
    <s v="Devuelto"/>
    <x v="2"/>
    <m/>
    <s v="28 DE SEPTIEMBRE EN REVISON DE LA CC POR PARTE DE SILVIA_x000a_31 DE OCTUBRE SE DEVUELVE PORQUE NO SE ALCANZA A TRAMITAR"/>
    <d v="2022-10-31T00:00:00"/>
    <m/>
    <s v="oct"/>
    <n v="81"/>
    <n v="68"/>
    <s v="N/A"/>
    <s v="INVERSION"/>
    <m/>
    <m/>
    <m/>
    <m/>
    <m/>
    <m/>
    <m/>
    <m/>
    <m/>
    <m/>
    <m/>
    <m/>
    <m/>
    <m/>
    <m/>
    <n v="1"/>
    <m/>
  </r>
  <r>
    <n v="464"/>
    <s v="0507"/>
    <s v="GUENAA"/>
    <d v="2022-08-11T00:00:00"/>
    <x v="8"/>
    <s v="GAA0105"/>
    <s v="FR-300-GAA-0221-2022"/>
    <s v="N/A"/>
    <s v="Mantenimiento de Planta Eléctrica de Emergencia - Planta Calle 13 y del CCM"/>
    <n v="23000000"/>
    <s v="45 DIAS"/>
    <s v="900-IP-0507-2022"/>
    <m/>
    <n v="202204377"/>
    <n v="23000000"/>
    <s v="N/A"/>
    <s v="N/A"/>
    <s v="N/A"/>
    <x v="2"/>
    <s v="JULIETA ORTIZ"/>
    <d v="2022-08-12T00:00:00"/>
    <e v="#VALUE!"/>
    <e v="#VALUE!"/>
    <s v="SI"/>
    <s v="Entregado al area"/>
    <x v="1"/>
    <m/>
    <m/>
    <d v="2022-09-26T00:00:00"/>
    <s v="Sep"/>
    <m/>
    <n v="46"/>
    <n v="45"/>
    <s v="G"/>
    <s v="FUNCIONAMIENTO"/>
    <s v="300-AO-2370-2022"/>
    <d v="2022-09-15T00:00:00"/>
    <n v="22478745"/>
    <s v="LACC INGENIERA SAS"/>
    <n v="202208530"/>
    <n v="521255"/>
    <m/>
    <m/>
    <m/>
    <m/>
    <m/>
    <s v="CALI"/>
    <s v="LOCAL"/>
    <m/>
    <n v="2.2663260869565216E-2"/>
    <n v="1"/>
    <n v="1"/>
  </r>
  <r>
    <n v="465"/>
    <s v="0508"/>
    <s v="GAGHA"/>
    <d v="2022-08-11T00:00:00"/>
    <x v="8"/>
    <s v="GHA0248"/>
    <s v="FR-800-GHA-0178-2022"/>
    <s v="800-CMA-1925-2021"/>
    <s v="Realizar las actividades necesarias para llevar a cabo las adecuaciones locativas y mantenimiento preventivo y correctivo en las sedes pertenecientes al corporativo de EMCALI - Almacen Central y Centro de Atención y Recaudo del Centro Comercial La Estación"/>
    <n v="479666592"/>
    <s v="31 DE DICIEMBRE 2022"/>
    <s v="N/A"/>
    <m/>
    <n v="202204126"/>
    <n v="479666592"/>
    <s v="N/A"/>
    <s v="N/A"/>
    <s v="N/A"/>
    <x v="1"/>
    <s v="FRANCIA RAMÍREZ"/>
    <d v="2022-08-11T00:00:00"/>
    <e v="#VALUE!"/>
    <e v="#VALUE!"/>
    <s v="SI"/>
    <s v="Entregado al area"/>
    <x v="1"/>
    <m/>
    <m/>
    <d v="2022-09-26T00:00:00"/>
    <s v="Sep"/>
    <m/>
    <n v="46"/>
    <n v="46"/>
    <s v="N/A"/>
    <s v="FUNCIONAMIENTO"/>
    <s v="800-CMA-1925-2021/800-AO-2334-2022"/>
    <d v="2022-09-15T00:00:00"/>
    <n v="468344128"/>
    <s v="CONSORCIO DOMAQ 2021"/>
    <n v="202208537"/>
    <n v="11322464"/>
    <m/>
    <m/>
    <m/>
    <m/>
    <m/>
    <s v="CALI"/>
    <s v="LOCAL"/>
    <m/>
    <n v="2.3604862604231565E-2"/>
    <n v="0"/>
    <n v="0"/>
  </r>
  <r>
    <n v="466"/>
    <s v="0509"/>
    <s v="GUENAA"/>
    <d v="2022-08-11T00:00:00"/>
    <x v="8"/>
    <s v="GAA0778"/>
    <s v="FR-300-GAA-0220-2022"/>
    <s v="N/A"/>
    <s v="Prestación del servicio de transporte para el seguimiento y control de las actividades operativas que contribuyen al cumplimiento del Plan de Reducción de Perdidas de la UENAA establecido ante la SSPD"/>
    <n v="127950000"/>
    <s v="90 DIAS"/>
    <s v="900-IP-0509-2022"/>
    <m/>
    <s v="202205458_x000a_202205429"/>
    <n v="127950000"/>
    <s v="N/A"/>
    <s v="N/A"/>
    <s v="N/A"/>
    <x v="2"/>
    <s v="PAOLA BELTRAN"/>
    <d v="2022-08-11T00:00:00"/>
    <e v="#VALUE!"/>
    <e v="#VALUE!"/>
    <s v="SI"/>
    <s v="Entregado al area"/>
    <x v="1"/>
    <m/>
    <m/>
    <d v="2022-09-15T00:00:00"/>
    <s v="Sep"/>
    <m/>
    <n v="35"/>
    <n v="35"/>
    <s v="G"/>
    <s v="FUNCIONAMIENTO"/>
    <s v="300-AO-2262-2022"/>
    <d v="2022-09-08T00:00:00"/>
    <n v="107439632"/>
    <s v="FERNANDO CAICEDO SUAREZ"/>
    <m/>
    <n v="20510368"/>
    <m/>
    <m/>
    <m/>
    <m/>
    <m/>
    <s v="CALI"/>
    <s v="LOCAL"/>
    <m/>
    <n v="0.16029986713559985"/>
    <n v="1"/>
    <n v="1"/>
  </r>
  <r>
    <n v="467"/>
    <s v="0510"/>
    <s v="GUENE"/>
    <d v="2022-08-11T00:00:00"/>
    <x v="8"/>
    <s v="GE0280"/>
    <s v="FR-500-GE-0204-2022"/>
    <s v="N/A"/>
    <s v="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
    <n v="1799998547"/>
    <m/>
    <s v="900-IP-510-2022"/>
    <s v="IP-"/>
    <s v="202203496_x000a_202203505"/>
    <m/>
    <s v="108-202200011"/>
    <s v="N/A"/>
    <s v="N/A"/>
    <x v="2"/>
    <s v="JULIETA ORTIZ"/>
    <d v="2022-08-12T00:00:00"/>
    <e v="#VALUE!"/>
    <e v="#VALUE!"/>
    <s v="NO"/>
    <s v="Devuelto"/>
    <x v="2"/>
    <m/>
    <s v="31 de agosto en unificacion de los conceptos_x000a_28 DE  SEPTIEMBRE EN ELABOACION DE LA FPA E INVITACION El FPA esta lista para revision y en elaboracion La CC, para continuar con el proceso. _x000a_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
    <d v="2022-11-11T00:00:00"/>
    <m/>
    <s v="nov"/>
    <n v="92"/>
    <n v="91"/>
    <m/>
    <s v="INVERSION"/>
    <m/>
    <m/>
    <m/>
    <m/>
    <m/>
    <m/>
    <m/>
    <m/>
    <m/>
    <m/>
    <m/>
    <m/>
    <m/>
    <m/>
    <m/>
    <n v="1"/>
    <m/>
  </r>
  <r>
    <n v="468"/>
    <s v="0511"/>
    <s v="GUENE"/>
    <d v="2022-08-11T00:00:00"/>
    <x v="8"/>
    <s v="GE0363"/>
    <s v="FR-500-GE-0244-2022"/>
    <s v="N/A"/>
    <s v="Servicios de prueba de aceptación y diagnóstigo a una terna de cables subterráneos del circuito AUTOPISTA"/>
    <n v="6220169"/>
    <s v="2 MESES"/>
    <s v="900-IP-0511-2022"/>
    <m/>
    <n v="202205585"/>
    <n v="6300000"/>
    <s v="N/A"/>
    <s v="N/A"/>
    <s v="N/A"/>
    <x v="2"/>
    <s v="JULIO ERAZO"/>
    <d v="2022-08-12T00:00:00"/>
    <e v="#VALUE!"/>
    <e v="#VALUE!"/>
    <s v="SI"/>
    <s v="Entregado al area"/>
    <x v="1"/>
    <m/>
    <m/>
    <d v="2022-09-12T00:00:00"/>
    <s v="Sep"/>
    <m/>
    <n v="32"/>
    <n v="31"/>
    <s v="G"/>
    <s v="FUNCIONAMIENTO"/>
    <s v="500-AO-2255-2022"/>
    <d v="2022-09-07T00:00:00"/>
    <n v="6220169"/>
    <s v="POTENCIAS Y TECNOLOGIAS INCORPORADAS SA "/>
    <n v="202208341"/>
    <n v="0"/>
    <m/>
    <m/>
    <m/>
    <m/>
    <m/>
    <m/>
    <m/>
    <m/>
    <n v="0"/>
    <n v="1"/>
    <n v="1"/>
  </r>
  <r>
    <n v="469"/>
    <s v="0512"/>
    <s v="GUENAA"/>
    <d v="2022-08-12T00:00:00"/>
    <x v="8"/>
    <s v="GAA0784"/>
    <s v="FR-300-GAA-0222-2022"/>
    <s v="N/A"/>
    <s v="Construcción camara en concreto reforzado barrio Lourdes"/>
    <n v="240344958"/>
    <s v="70 DIAS"/>
    <s v="900-IP-0512-2022"/>
    <m/>
    <n v="202204550"/>
    <n v="260000000"/>
    <s v="N/A"/>
    <s v="N/A"/>
    <s v="N/A"/>
    <x v="2"/>
    <s v="LAURA ANGEL"/>
    <d v="2022-08-12T00:00:00"/>
    <m/>
    <m/>
    <s v="SI"/>
    <s v="Entregado al area"/>
    <x v="1"/>
    <m/>
    <m/>
    <d v="2022-08-30T00:00:00"/>
    <s v="Aug"/>
    <m/>
    <n v="18"/>
    <n v="18"/>
    <s v="G"/>
    <s v="INVERSION"/>
    <s v="300-AO-2212-2022"/>
    <d v="2022-08-26T00:00:00"/>
    <n v="240014937"/>
    <s v="ALVARO LAZARO DEL VALLE"/>
    <n v="202207960"/>
    <n v="330021"/>
    <m/>
    <m/>
    <m/>
    <m/>
    <m/>
    <s v="CALI"/>
    <s v="LOCAL"/>
    <m/>
    <n v="1.3731138890793789E-3"/>
    <n v="1"/>
    <n v="1"/>
  </r>
  <r>
    <n v="470"/>
    <s v="0513"/>
    <s v="GUENAA"/>
    <d v="2022-08-12T00:00:00"/>
    <x v="8"/>
    <s v="GAA0783"/>
    <s v="FR-300-GAA-0223-2022"/>
    <s v="N/A"/>
    <s v="Reposición redes de Acueducto y Alcantarillado Comunas 1, 18 y 20 y reposición Acueducto barrio Manzanares"/>
    <n v="147703526"/>
    <s v="18 DE NOVIEMBRE 2022"/>
    <s v="900-IP-0513-2022"/>
    <m/>
    <n v="202205571"/>
    <n v="147703526"/>
    <s v="N/A"/>
    <s v="N/A"/>
    <s v="N/A"/>
    <x v="2"/>
    <s v="LAURA ANGEL"/>
    <d v="2022-08-12T00:00:00"/>
    <m/>
    <m/>
    <s v="SI"/>
    <s v="Entregado al area"/>
    <x v="1"/>
    <m/>
    <m/>
    <d v="2022-08-31T00:00:00"/>
    <s v="Aug"/>
    <m/>
    <n v="19"/>
    <n v="19"/>
    <s v="G"/>
    <s v="INVERSION"/>
    <s v="300-AO-2209-2022"/>
    <d v="2022-08-26T00:00:00"/>
    <n v="147701432"/>
    <s v="ICONSA INGENIEROS  CONSTRUCTORES ASOCIADOS LTDA"/>
    <n v="202207956"/>
    <n v="2094"/>
    <m/>
    <m/>
    <m/>
    <m/>
    <m/>
    <s v="CALI"/>
    <s v="LOCAL"/>
    <m/>
    <n v="1.4177048149818712E-5"/>
    <n v="1"/>
    <n v="1"/>
  </r>
  <r>
    <n v="471"/>
    <s v="0514"/>
    <s v="GUENT"/>
    <d v="2022-08-16T00:00:00"/>
    <x v="8"/>
    <s v="PENDIENTE"/>
    <s v="FR-400-GT-0158-2022"/>
    <s v="N/A"/>
    <s v="Suministro y capacitación de EQUIPOS DE COMUNICACIONES Y software de Gestión de Redes Inalambricas Site Survey, para apoyar y soportar las isntalaciones de soluciones de Gobierno, Corporativas y/o empresariales y eventos"/>
    <n v="1000000000"/>
    <s v="60 DIAS"/>
    <s v="900-IP-0514-2022"/>
    <m/>
    <n v="202203593"/>
    <m/>
    <s v="N/A"/>
    <s v="N/A"/>
    <s v="N/A"/>
    <x v="2"/>
    <s v="JULIETA ORTIZ"/>
    <d v="2022-08-16T00:00:00"/>
    <e v="#VALUE!"/>
    <e v="#VALUE!"/>
    <s v="SI"/>
    <s v="Entregado al area"/>
    <x v="1"/>
    <m/>
    <m/>
    <d v="2022-09-22T00:00:00"/>
    <s v="Sep"/>
    <m/>
    <n v="37"/>
    <n v="37"/>
    <s v="B"/>
    <s v="INVERSION"/>
    <s v="400-AO-2364-2022"/>
    <d v="2022-09-15T00:00:00"/>
    <n v="958726933"/>
    <s v="BOYRA SA"/>
    <n v="202208550"/>
    <n v="41273067"/>
    <m/>
    <m/>
    <m/>
    <m/>
    <m/>
    <s v="BOGOTA"/>
    <s v="NACIONAL"/>
    <m/>
    <n v="4.1273066999999997E-2"/>
    <n v="1"/>
    <n v="1"/>
  </r>
  <r>
    <n v="472"/>
    <s v="0515"/>
    <s v="GUENAA"/>
    <d v="2022-08-16T00:00:00"/>
    <x v="8"/>
    <s v="PENDIENTE"/>
    <s v="FR-300-GAA-0075-2022"/>
    <s v="N/A"/>
    <s v="Suministro de lubricantes para todas las estaciones de bombeo de aguas lluvias y/o residuales"/>
    <n v="52771303"/>
    <s v="3 MESES"/>
    <s v="900-IP-0515-2022"/>
    <m/>
    <n v="202201835"/>
    <n v="52771303"/>
    <s v="N/A"/>
    <s v="N/A"/>
    <s v="N/A"/>
    <x v="2"/>
    <s v="JULIO GARCIA"/>
    <d v="2022-08-16T00:00:00"/>
    <n v="29"/>
    <n v="29"/>
    <s v="SI"/>
    <s v="Entregado al area"/>
    <x v="1"/>
    <m/>
    <m/>
    <d v="2022-08-25T00:00:00"/>
    <s v="Aug"/>
    <m/>
    <n v="9"/>
    <n v="9"/>
    <s v="G"/>
    <s v="FUNCIONAMIENTO"/>
    <s v="300-AO-2194-2022"/>
    <d v="2022-08-24T00:00:00"/>
    <n v="52750385"/>
    <s v="MUNDIAL DE FILTROS"/>
    <n v="202207896"/>
    <n v="20918"/>
    <m/>
    <m/>
    <m/>
    <m/>
    <m/>
    <s v="CALI"/>
    <s v="LOCAL"/>
    <m/>
    <n v="3.963896817177321E-4"/>
    <n v="1"/>
    <n v="1"/>
  </r>
  <r>
    <n v="473"/>
    <s v="0517"/>
    <s v="GUENE"/>
    <d v="2022-08-17T00:00:00"/>
    <x v="8"/>
    <s v="GE0376"/>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517-2022"/>
    <s v="IP-"/>
    <n v="202202695"/>
    <m/>
    <s v="108-202200003"/>
    <s v="N/A"/>
    <s v="N/A"/>
    <x v="2"/>
    <s v="HAROLD MONDRAGON"/>
    <d v="2022-08-17T00:00:00"/>
    <e v="#VALUE!"/>
    <e v="#VALUE!"/>
    <s v="NO"/>
    <s v="Cerrado"/>
    <x v="0"/>
    <d v="2022-11-24T00:00:00"/>
    <s v="31 de agosto en recepcion de ofertas_x000a_26 DE SEPTIEMBRE EN ESPERA DE LA FIRMA DEL ACTA DE ADJUDICACION. QUEDO PENDIENTE LA FIRMA DEL GERENTE GENERAL_x000a_09-11-2022, EN DIRECCION JURIDICA GG_x000a_18-11-2022, acta de cierre para firma de GG_x000a_24-11-2022, SE PUBLICOACTA DE TERMINACION EL 23-11-2022"/>
    <d v="2022-11-23T00:00:00"/>
    <m/>
    <s v="nov"/>
    <n v="98"/>
    <n v="98"/>
    <s v="B"/>
    <s v="FUNCIONAMIENTO"/>
    <m/>
    <m/>
    <m/>
    <m/>
    <m/>
    <m/>
    <m/>
    <m/>
    <m/>
    <m/>
    <m/>
    <m/>
    <m/>
    <m/>
    <m/>
    <n v="1"/>
    <m/>
  </r>
  <r>
    <n v="474"/>
    <s v="0518"/>
    <s v="GUENT"/>
    <d v="2022-08-17T00:00:00"/>
    <x v="8"/>
    <s v="GT0175"/>
    <s v="FR-400-GT-0198-2022"/>
    <s v="N/A"/>
    <s v="Realizar el mantenimiento al Sistema de Extinción de Incendios de los DATA CENTER de LIMONAR Y SAN FERNANDO pertenecientes a la GUENTIC de EMCALI EICE ESP"/>
    <n v="11201470"/>
    <s v="28 DE NOVIEMBRE 2022"/>
    <s v="900-IP-0518-2022"/>
    <m/>
    <n v="202202937"/>
    <n v="12000000"/>
    <s v="N/A"/>
    <s v="N/A"/>
    <s v="N/A"/>
    <x v="2"/>
    <s v="CAMILO NUÑEZ"/>
    <d v="2022-08-19T00:00:00"/>
    <n v="83"/>
    <n v="81"/>
    <s v="SI"/>
    <s v="Entregado al area"/>
    <x v="1"/>
    <s v="28 DE SEPTIEMBRE EN SOLICITUD DE POLIZAS"/>
    <m/>
    <d v="2022-10-06T00:00:00"/>
    <s v="Oct"/>
    <n v="50"/>
    <m/>
    <n v="48"/>
    <s v="G"/>
    <s v="FUNCIONAMIENTO"/>
    <s v="400-AO-2287-2022"/>
    <d v="2022-09-14T00:00:00"/>
    <n v="11201470"/>
    <s v="TECHNO FUEGO SAS"/>
    <n v="202208435"/>
    <n v="0"/>
    <s v="CALI"/>
    <s v="LOCAL"/>
    <m/>
    <m/>
    <m/>
    <m/>
    <m/>
    <m/>
    <n v="0"/>
    <n v="1"/>
    <n v="1"/>
  </r>
  <r>
    <n v="475"/>
    <s v="0519"/>
    <s v="GUENTIC"/>
    <d v="2022-08-17T00:00:00"/>
    <x v="8"/>
    <s v="GT0182_x000a_GT0183"/>
    <s v="FR-400-GT-0196-2022"/>
    <s v="N/A"/>
    <s v="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
    <n v="205244893"/>
    <m/>
    <s v="900-IP-0519-2022"/>
    <s v="IP-"/>
    <s v="202204554_x000a_202205462"/>
    <m/>
    <s v="N/A"/>
    <s v="N/A"/>
    <s v="N/A"/>
    <x v="2"/>
    <s v="JULIETA ORTIZ"/>
    <d v="2022-08-19T00:00:00"/>
    <e v="#VALUE!"/>
    <e v="#VALUE!"/>
    <m/>
    <s v="Cerrado"/>
    <x v="0"/>
    <d v="2022-12-09T00:00:00"/>
    <s v="28 de septiembre en revision de la fpa e invitacion_x000a_12-11-2022, El FPA y La INVITACION PRIVADA ya fueron y se esta en el ajuste de las imputaciones presupuestales con el nuevo CDP expedido a traves de SAP._x000a_16-12-2022, PROCESO CERRADO PORQUE NO SE RECIBIERON COTIZACIONES "/>
    <d v="2022-12-16T00:00:00"/>
    <m/>
    <s v="dic"/>
    <n v="121"/>
    <n v="119"/>
    <m/>
    <s v="FUNCIONAMIENTO"/>
    <m/>
    <m/>
    <m/>
    <m/>
    <m/>
    <m/>
    <m/>
    <m/>
    <m/>
    <m/>
    <m/>
    <m/>
    <m/>
    <m/>
    <m/>
    <n v="0"/>
    <m/>
  </r>
  <r>
    <n v="476"/>
    <s v="0520"/>
    <s v="GUENE"/>
    <d v="2022-08-17T00:00:00"/>
    <x v="8"/>
    <s v="GE0290_x000a_GE0328"/>
    <s v="FR-500-GE-0237-2022"/>
    <s v="N/A"/>
    <s v="Suministro DDP de transformadores eléctricos de distribución"/>
    <n v="736990800"/>
    <m/>
    <s v="900-IP-0520-2022"/>
    <s v="IP-"/>
    <s v="202205605_x000a_202205608"/>
    <m/>
    <s v="N/A"/>
    <s v="N/A"/>
    <s v="N/A"/>
    <x v="2"/>
    <s v="JULIETA ORTIZ"/>
    <d v="2022-08-19T00:00:00"/>
    <e v="#VALUE!"/>
    <e v="#VALUE!"/>
    <m/>
    <s v="Cerrado"/>
    <x v="0"/>
    <d v="2022-12-16T00:00:00"/>
    <s v="28 DE SEPTIEMBRE EN COTIZACIONES _x000a_12-11-2022, El FPA esta lista para revision y en elaboracion la INVITACION, se recibio por parte del Area las modificaciones a la Ficha de Requerimiento, Presupuesto etc.,se esta en la etapa de solicitud de cotizaciones._x000a_09-12-2022, NO SE RECIBIERON OFERTAS "/>
    <d v="2022-12-16T00:00:00"/>
    <m/>
    <s v="dic"/>
    <n v="121"/>
    <n v="119"/>
    <m/>
    <s v="INVERSION"/>
    <m/>
    <m/>
    <m/>
    <m/>
    <m/>
    <m/>
    <m/>
    <m/>
    <m/>
    <m/>
    <m/>
    <m/>
    <m/>
    <m/>
    <m/>
    <n v="1"/>
    <m/>
  </r>
  <r>
    <n v="477"/>
    <s v="0521"/>
    <s v="GUENE"/>
    <d v="2022-08-17T00:00:00"/>
    <x v="8"/>
    <s v="GE0378"/>
    <s v="FR-500-GE-0249-2022"/>
    <s v="500-CMA-1743-2021"/>
    <s v="Suministro de cable eléctrico - para acometida AC de proyecto solar. Planta de Tratamiento de Agua Potable Río Cauca."/>
    <n v="180708116"/>
    <s v="45 DIAS"/>
    <s v="N/A"/>
    <m/>
    <n v="202205619"/>
    <n v="180708116"/>
    <s v="N/A"/>
    <s v="N/A"/>
    <s v="N/A"/>
    <x v="1"/>
    <s v="ESTEFANIA SANCHEZ"/>
    <d v="2022-08-19T00:00:00"/>
    <e v="#VALUE!"/>
    <e v="#VALUE!"/>
    <s v="SI"/>
    <s v="Entregado al area"/>
    <x v="1"/>
    <m/>
    <m/>
    <d v="2022-09-14T00:00:00"/>
    <s v="Sep"/>
    <m/>
    <n v="28"/>
    <n v="26"/>
    <s v="N/A"/>
    <s v="INVERSION"/>
    <s v="CMA-1743-2021/500-AO-2237-2022"/>
    <d v="2022-09-01T00:00:00"/>
    <n v="180708116"/>
    <s v="CABLES DE ENERGIA Y TELECOMUNICACIONES SAS"/>
    <n v="202208293"/>
    <n v="0"/>
    <m/>
    <m/>
    <m/>
    <m/>
    <m/>
    <s v="YUMBO"/>
    <s v="MUNICIPAL"/>
    <m/>
    <n v="0"/>
    <n v="1"/>
    <n v="0"/>
  </r>
  <r>
    <n v="478"/>
    <s v="0522"/>
    <s v="GUENE"/>
    <d v="2022-08-18T00:00:00"/>
    <x v="8"/>
    <s v="GE0377"/>
    <s v="FR-500-GE-0196-2022"/>
    <s v="N/A"/>
    <s v="Suministro DDP y configuaración de medidores ION SCHNEIDER 92040 para la calidad de la energía en subestaciones, , clase A."/>
    <n v="886776000"/>
    <m/>
    <s v="900-IP-0522-2022"/>
    <s v="IP-"/>
    <n v="202202877"/>
    <m/>
    <s v="N/A"/>
    <s v="N/A"/>
    <s v="N/A"/>
    <x v="2"/>
    <s v="JULIETA ORTIZ"/>
    <d v="2022-08-18T00:00:00"/>
    <e v="#VALUE!"/>
    <e v="#VALUE!"/>
    <m/>
    <s v="Entregado al area"/>
    <x v="1"/>
    <d v="2022-12-16T00:00:00"/>
    <s v="28 de septiembre 2022 en evaluacion_x000a_ 12-11-2022, El IPU-0276 se Cerro y el 900-IP-0522-2022 esta en Evaluacion de la Propuesta recibida. Se eleboro AO. "/>
    <d v="2022-12-12T00:00:00"/>
    <s v="Dec"/>
    <s v="dic"/>
    <n v="116"/>
    <n v="116"/>
    <s v="G"/>
    <s v="INVERSION"/>
    <s v="500-AO-2451-2022"/>
    <d v="2022-12-06T00:00:00"/>
    <n v="882875280"/>
    <s v="SOLLIVAN SMART SOLUTION SAS"/>
    <n v="202208815"/>
    <n v="3900720"/>
    <m/>
    <m/>
    <m/>
    <m/>
    <m/>
    <m/>
    <m/>
    <m/>
    <n v="4.3987658664645865E-3"/>
    <n v="1"/>
    <n v="1"/>
  </r>
  <r>
    <n v="479"/>
    <s v="0523"/>
    <s v="GUENE"/>
    <d v="2022-08-18T00:00:00"/>
    <x v="8"/>
    <s v="GE0374"/>
    <s v="FR-500-GE-0239-2022"/>
    <s v="N/A"/>
    <s v="Mantenimiento Preventivo a Equipo Cromatrografo de Gases"/>
    <n v="9191539"/>
    <m/>
    <s v="900-IP-0523-2022"/>
    <s v="IP-"/>
    <n v="202205584"/>
    <m/>
    <s v="N/A"/>
    <s v="N/A"/>
    <s v="N/A"/>
    <x v="2"/>
    <s v="CAMILO NUÑEZ"/>
    <d v="2022-08-19T00:00:00"/>
    <e v="#VALUE!"/>
    <e v="#VALUE!"/>
    <s v="NO"/>
    <s v="Devuelto"/>
    <x v="2"/>
    <m/>
    <s v="28 DE SEPTIEMBRE DEVUELTO"/>
    <d v="2022-09-28T00:00:00"/>
    <m/>
    <s v="sep"/>
    <n v="41"/>
    <n v="40"/>
    <s v="G"/>
    <s v="FUNCIONAMIENTO"/>
    <m/>
    <m/>
    <m/>
    <m/>
    <m/>
    <m/>
    <m/>
    <m/>
    <m/>
    <m/>
    <m/>
    <m/>
    <m/>
    <m/>
    <m/>
    <n v="1"/>
    <m/>
  </r>
  <r>
    <n v="480"/>
    <s v="0524"/>
    <s v="GUENE"/>
    <d v="2022-08-18T00:00:00"/>
    <x v="8"/>
    <s v="GE0232"/>
    <s v="FR-500-GE-0248-2022"/>
    <s v="N/A"/>
    <s v="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
    <n v="8045091691"/>
    <m/>
    <s v="900-IP-524-2022"/>
    <s v="IP-"/>
    <n v="202204413"/>
    <m/>
    <m/>
    <m/>
    <s v="N/A"/>
    <x v="2"/>
    <s v="HAROLD MONDRAGON"/>
    <d v="2022-08-19T00:00:00"/>
    <e v="#VALUE!"/>
    <e v="#VALUE!"/>
    <m/>
    <s v="Cerrado"/>
    <x v="0"/>
    <d v="2022-11-30T00:00:00"/>
    <s v="28 DE SEPTIEMBRE EN EVALUACION_x000a_18-11-2022, proponente no cumple requisitos de idoneidad y financieros_x000a_30-11-2022, PROCESO CERRADO PENDIENTE FIRMA ACTA CIERRE POR PARTE DE GG"/>
    <d v="2022-11-30T00:00:00"/>
    <m/>
    <s v="nov"/>
    <n v="104"/>
    <n v="103"/>
    <s v="D"/>
    <s v="INVERSION"/>
    <m/>
    <m/>
    <m/>
    <m/>
    <m/>
    <m/>
    <m/>
    <m/>
    <m/>
    <m/>
    <m/>
    <m/>
    <m/>
    <m/>
    <m/>
    <n v="1"/>
    <m/>
  </r>
  <r>
    <n v="481"/>
    <s v="0525"/>
    <s v="GC"/>
    <d v="2022-08-19T00:00:00"/>
    <x v="8"/>
    <s v="GC0515"/>
    <s v="FR-600-GC-0558-2022"/>
    <s v="N/A"/>
    <s v="Compra televisores, soportes para televisores y hornos microondas para los Centros de Atención y el Contact Center de EMCALI EICE ESP"/>
    <n v="43500000"/>
    <m/>
    <m/>
    <s v=""/>
    <n v="202201388"/>
    <m/>
    <m/>
    <m/>
    <s v="N/A"/>
    <x v="3"/>
    <s v="SIN ASIGNAR"/>
    <m/>
    <e v="#VALUE!"/>
    <e v="#VALUE!"/>
    <s v="NO"/>
    <s v="Devuelto"/>
    <x v="2"/>
    <m/>
    <m/>
    <d v="2022-11-15T00:00:00"/>
    <m/>
    <s v="nov"/>
    <n v="88"/>
    <n v="44880"/>
    <m/>
    <s v="FUNCIONAMIENTO"/>
    <m/>
    <m/>
    <m/>
    <m/>
    <m/>
    <m/>
    <m/>
    <m/>
    <m/>
    <m/>
    <m/>
    <m/>
    <m/>
    <m/>
    <m/>
    <n v="0"/>
    <m/>
  </r>
  <r>
    <n v="482"/>
    <s v="0526"/>
    <s v="GUENE"/>
    <d v="2022-08-19T00:00:00"/>
    <x v="8"/>
    <s v="GE0357"/>
    <s v="FR-500-GE-0252-2022"/>
    <s v="N/A"/>
    <s v="Suministro de probador de relación de transformación T.T.R. portatil, para redes de media y baja tensión del SDL de EMCALI"/>
    <n v="62237000"/>
    <m/>
    <s v="900-IP-526-2022"/>
    <s v="IP-"/>
    <n v="202205607"/>
    <m/>
    <s v="N/A"/>
    <s v="N/A"/>
    <s v="N/A"/>
    <x v="2"/>
    <s v="CARLOS RODRIGUEZ"/>
    <d v="2022-08-22T00:00:00"/>
    <e v="#VALUE!"/>
    <e v="#VALUE!"/>
    <m/>
    <s v="Cerrado"/>
    <x v="0"/>
    <d v="2022-11-30T00:00:00"/>
    <s v="28 DE SEPTIEMBRE EN SOLCIITUD DE POLIZAS_x000a_15-11-2022, SE DEBEN AJUSTAR VALORES POR PARTE DEL AREA _x000a_30-11-2022, PROCESO CERRADO MEDIANTE ACTA DE FECHA 23 NOV 2022"/>
    <d v="2022-11-30T00:00:00"/>
    <m/>
    <s v="nov"/>
    <n v="103"/>
    <n v="100"/>
    <s v="G"/>
    <s v="INVERSION"/>
    <m/>
    <m/>
    <m/>
    <m/>
    <m/>
    <m/>
    <m/>
    <m/>
    <m/>
    <m/>
    <m/>
    <m/>
    <m/>
    <m/>
    <m/>
    <n v="1"/>
    <m/>
  </r>
  <r>
    <n v="483"/>
    <s v="0527"/>
    <s v="GUENE"/>
    <d v="2022-08-19T00:00:00"/>
    <x v="8"/>
    <s v="GE0208"/>
    <s v="FR-500-GE-0160-2022"/>
    <s v="N/A"/>
    <s v="Suministro de Oxigeno y Acetileno"/>
    <n v="3293920"/>
    <m/>
    <s v="900-IP-527-2022"/>
    <s v="IP-"/>
    <n v="202202582"/>
    <n v="23526300"/>
    <s v="N/A"/>
    <s v="N/A"/>
    <s v="N/A"/>
    <x v="2"/>
    <s v="CARLOS RODRIGUEZ"/>
    <d v="2022-08-22T00:00:00"/>
    <e v="#VALUE!"/>
    <e v="#VALUE!"/>
    <s v="SI"/>
    <s v="Solicitud de Polizas y Rp"/>
    <x v="1"/>
    <m/>
    <s v="28 DE SEPTIEMBRE EN SOLCIITUD DE POLIZAS"/>
    <d v="2022-11-08T00:00:00"/>
    <s v="Nov"/>
    <s v="nov"/>
    <n v="81"/>
    <n v="78"/>
    <s v="G"/>
    <s v="FUNCIONAMIENTO"/>
    <s v="500-AO-2382-2022"/>
    <d v="2022-09-15T00:00:00"/>
    <n v="2814350"/>
    <s v="SUMINISTRO E INSUMOS INDUSTRIALES LTDA"/>
    <n v="202208497"/>
    <n v="479570"/>
    <m/>
    <m/>
    <m/>
    <m/>
    <m/>
    <m/>
    <m/>
    <m/>
    <n v="0.14559248554913296"/>
    <n v="1"/>
    <n v="1"/>
  </r>
  <r>
    <n v="484"/>
    <s v="0528"/>
    <s v="GUENAA"/>
    <d v="2022-08-19T00:00:00"/>
    <x v="8"/>
    <s v="GAA0177"/>
    <s v="FR-300-GAA-0224-2022"/>
    <s v="N/A"/>
    <s v="Obras prioritarias, protección y seguridad - linea aducción descarga Río Cali"/>
    <n v="499663409"/>
    <s v="70 DIAS"/>
    <s v="900-IP-0528-2022"/>
    <m/>
    <n v="202202781"/>
    <m/>
    <s v="N/A"/>
    <s v="N/A"/>
    <s v="N/A"/>
    <x v="2"/>
    <s v="HAROLD MONDRAGON"/>
    <d v="2022-08-23T00:00:00"/>
    <e v="#VALUE!"/>
    <e v="#VALUE!"/>
    <s v="SI"/>
    <s v="Entregado al area"/>
    <x v="1"/>
    <m/>
    <m/>
    <d v="2022-09-12T00:00:00"/>
    <s v="Sep"/>
    <m/>
    <n v="24"/>
    <n v="20"/>
    <s v="G"/>
    <s v="INVERSION"/>
    <s v="300-AO-2244-2022"/>
    <d v="2022-09-05T00:00:00"/>
    <n v="492417782"/>
    <s v="DDM INGENIERIA SAS"/>
    <n v="202208321"/>
    <n v="7245627"/>
    <m/>
    <m/>
    <m/>
    <m/>
    <m/>
    <s v="PALMIRA"/>
    <s v="MUNICIPAL"/>
    <m/>
    <n v="1.4501015822833647E-2"/>
    <n v="1"/>
    <n v="1"/>
  </r>
  <r>
    <n v="485"/>
    <s v="0529"/>
    <s v="GTI"/>
    <d v="2022-08-22T00:00:00"/>
    <x v="8"/>
    <s v="GTI0196"/>
    <s v="FR-200-GTI-0114-2022"/>
    <s v="N/A"/>
    <s v="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
    <n v="177488500"/>
    <m/>
    <m/>
    <s v=""/>
    <n v="202205631"/>
    <m/>
    <m/>
    <m/>
    <s v="N/A"/>
    <x v="3"/>
    <s v="CAMILO NUÑEZ"/>
    <m/>
    <e v="#VALUE!"/>
    <e v="#VALUE!"/>
    <s v="NO"/>
    <s v="Devuelto"/>
    <x v="2"/>
    <m/>
    <m/>
    <d v="2022-09-08T00:00:00"/>
    <m/>
    <s v="sep"/>
    <n v="17"/>
    <n v="44812"/>
    <m/>
    <s v="FUNCIONAMIENTO"/>
    <m/>
    <m/>
    <m/>
    <m/>
    <m/>
    <m/>
    <m/>
    <m/>
    <m/>
    <m/>
    <m/>
    <m/>
    <m/>
    <m/>
    <m/>
    <n v="0"/>
    <m/>
  </r>
  <r>
    <n v="486"/>
    <s v="0530"/>
    <s v="GAGHA"/>
    <d v="2022-08-23T00:00:00"/>
    <x v="8"/>
    <s v="GHA0013"/>
    <s v="FR-800-GHA-0194-2022"/>
    <s v="N/A"/>
    <s v="Elaborar y entregar recordatorios y botones fundidos y grabados con el logo de EMCALI EICE ESP"/>
    <n v="13301761"/>
    <s v="28 DE DICIEMBRE 2022"/>
    <s v="900-IP-0530-2022"/>
    <m/>
    <n v="202201822"/>
    <m/>
    <s v="N/A"/>
    <s v="N/A"/>
    <s v="N/A"/>
    <x v="2"/>
    <s v="AMPARO RENGIFO"/>
    <d v="2022-08-29T00:00:00"/>
    <e v="#VALUE!"/>
    <e v="#VALUE!"/>
    <s v="SI"/>
    <s v="Entregado al area"/>
    <x v="1"/>
    <m/>
    <m/>
    <d v="2022-09-27T00:00:00"/>
    <s v="Sep"/>
    <m/>
    <n v="35"/>
    <n v="29"/>
    <s v="G"/>
    <s v="FUNCIONAMIENTO"/>
    <s v="800-AO-2373-2022"/>
    <d v="2022-09-15T00:00:00"/>
    <n v="13301671"/>
    <s v="GRABOMETAL PREMIACIONES SAS"/>
    <n v="202208505"/>
    <n v="90"/>
    <m/>
    <m/>
    <m/>
    <m/>
    <m/>
    <s v="CALI"/>
    <s v="LOCAL"/>
    <m/>
    <n v="6.7660214312977054E-6"/>
    <n v="0"/>
    <n v="1"/>
  </r>
  <r>
    <n v="487"/>
    <s v="0531"/>
    <s v="GAGHA"/>
    <d v="2022-08-24T00:00:00"/>
    <x v="8"/>
    <s v="GHA0272"/>
    <s v="FR-800-GHA-0191-2022"/>
    <s v="N/A"/>
    <s v="Realizar el avalúo comercial de los lotes de terreno y obra civil de los siguientes inmuebles propiedad de EMCALI EICE ESP ENER 20 - ENER 22 - ENER 24 - ACUE 78"/>
    <n v="31535000"/>
    <s v="28 DE NOVIEMBRE 2022"/>
    <s v="900-IP-0531-2022"/>
    <m/>
    <n v="202205304"/>
    <n v="48136532"/>
    <s v="N/A"/>
    <s v="N/A"/>
    <s v="N/A"/>
    <x v="2"/>
    <s v="IVAN ALDANA"/>
    <d v="2022-08-24T00:00:00"/>
    <e v="#VALUE!"/>
    <e v="#VALUE!"/>
    <s v="SI"/>
    <s v="Entregado al area"/>
    <x v="1"/>
    <m/>
    <m/>
    <d v="2022-09-21T00:00:00"/>
    <s v="Sep"/>
    <m/>
    <n v="28"/>
    <n v="28"/>
    <s v="G"/>
    <s v="FUNCIONAMIENTO"/>
    <s v="800-AO-2324-2022"/>
    <d v="2022-09-14T00:00:00"/>
    <n v="27000000"/>
    <s v="ALEJANDRO REYES JIMENEZ"/>
    <n v="202208496"/>
    <n v="4535000"/>
    <m/>
    <m/>
    <m/>
    <m/>
    <m/>
    <s v="CALI"/>
    <s v="LOCAL"/>
    <m/>
    <n v="0.1438084667829396"/>
    <n v="0"/>
    <n v="1"/>
  </r>
  <r>
    <n v="488"/>
    <s v="0532"/>
    <s v="GAGHA"/>
    <d v="2022-08-24T00:00:00"/>
    <x v="8"/>
    <s v="GHA0282"/>
    <s v="FR-800-GHA-0195-2022"/>
    <s v="N/A"/>
    <s v="Programar e integrar el sistema de control de acceso Andover Continuum para ascensor privado torre EMCALI"/>
    <n v="7140000"/>
    <m/>
    <s v="900-IP-0532-2022"/>
    <s v="IP-"/>
    <n v="202205371"/>
    <n v="7140000"/>
    <s v="N/A"/>
    <s v="N/A"/>
    <s v="N/A"/>
    <x v="2"/>
    <s v="JULIO ERAZO"/>
    <d v="2022-08-29T00:00:00"/>
    <e v="#VALUE!"/>
    <e v="#VALUE!"/>
    <s v="SI"/>
    <s v="Esperando info del area"/>
    <x v="1"/>
    <m/>
    <s v="28 DE SEPTIEMBRE EN POLIZAS"/>
    <d v="2022-10-06T00:00:00"/>
    <s v="Nov"/>
    <s v="oct"/>
    <n v="43"/>
    <n v="38"/>
    <s v="G"/>
    <s v="FUNCIONAMIENTO"/>
    <s v="800-AO-2284-2022"/>
    <d v="2022-09-13T00:00:00"/>
    <n v="7140000"/>
    <s v="VISION TECNOLOGICA VITEC-SAS"/>
    <n v="202208413"/>
    <n v="0"/>
    <m/>
    <m/>
    <m/>
    <m/>
    <m/>
    <m/>
    <m/>
    <m/>
    <n v="0"/>
    <n v="0"/>
    <n v="1"/>
  </r>
  <r>
    <n v="489"/>
    <s v="0533"/>
    <s v="GUENAA"/>
    <d v="2022-08-24T00:00:00"/>
    <x v="8"/>
    <s v="GAA0299"/>
    <s v="FR-300-GAA-0226-2022"/>
    <s v="N/A"/>
    <s v="Realizar la refacción y restitución del espacio público en los sitios donde se llevaron a cabo las reparaciones de Daños de Acueducto en Acometidas o Red Matriz"/>
    <n v="3234000000"/>
    <m/>
    <s v="900-IPU-533-2022"/>
    <s v="IPU"/>
    <n v="202203637"/>
    <m/>
    <s v="108-202200013"/>
    <m/>
    <s v="N/A"/>
    <x v="0"/>
    <s v="HAROLD MONDRAGON"/>
    <d v="2022-08-29T00:00:00"/>
    <e v="#VALUE!"/>
    <e v="#VALUE!"/>
    <m/>
    <s v="Cerrado"/>
    <x v="0"/>
    <d v="2022-12-14T00:00:00"/>
    <s v="28 de septiembre en revision de la fpa e invitacion, YA QUEDARON REVISADAS_x000a_10-11-2022, en firma de gerente GAE para publicacion de CC_x000a_18-11-2022, para firma de gerente GAE para publicar "/>
    <d v="2022-12-14T00:00:00"/>
    <m/>
    <s v="dic"/>
    <n v="112"/>
    <n v="107"/>
    <m/>
    <s v="FUNCIONAMIENTO"/>
    <m/>
    <m/>
    <m/>
    <m/>
    <m/>
    <m/>
    <m/>
    <m/>
    <m/>
    <m/>
    <m/>
    <m/>
    <m/>
    <m/>
    <m/>
    <n v="1"/>
    <m/>
  </r>
  <r>
    <n v="490"/>
    <s v="0534"/>
    <s v="GUENAA"/>
    <d v="2022-08-25T00:00:00"/>
    <x v="8"/>
    <s v="GAA0791"/>
    <s v="FR-300-GAA-0228-2022"/>
    <s v="N/A"/>
    <s v="Participación en programas de Ensayos de Aptitud de los Laboratorios de Ensayos de la UENAA."/>
    <n v="20288310"/>
    <m/>
    <s v="900-IP-0534-2022"/>
    <s v="IP-"/>
    <s v="202205485_x000a_202205667"/>
    <m/>
    <s v="N/A"/>
    <s v="N/A"/>
    <s v="N/A"/>
    <x v="2"/>
    <s v="MARIA CAMILA OLIVEROS"/>
    <d v="2022-08-29T00:00:00"/>
    <e v="#VALUE!"/>
    <e v="#VALUE!"/>
    <s v="SI"/>
    <s v="Entregado al area"/>
    <x v="1"/>
    <d v="2022-12-16T00:00:00"/>
    <s v="28 DE SEPTIEMBRE EN ACEPTACION DE LA OFERTA"/>
    <d v="2022-09-23T00:00:00"/>
    <s v="Dec"/>
    <s v="sep"/>
    <n v="29"/>
    <n v="25"/>
    <s v="G"/>
    <s v="FUNCIONAMIENTO"/>
    <s v="300-AO-2392-2022"/>
    <d v="2022-09-23T00:00:00"/>
    <n v="20288310"/>
    <s v="AS ANALITICAL S.A.S"/>
    <s v="AB-2300002592"/>
    <n v="0"/>
    <m/>
    <m/>
    <m/>
    <m/>
    <m/>
    <m/>
    <m/>
    <m/>
    <n v="0"/>
    <n v="1"/>
    <n v="1"/>
  </r>
  <r>
    <n v="491"/>
    <s v="0535"/>
    <s v="GUENAA"/>
    <d v="2022-08-25T00:00:00"/>
    <x v="8"/>
    <s v="GAA0794"/>
    <s v="FR-300-GAA-0230-2022"/>
    <s v="N/A"/>
    <s v="Reparación de daño de alcantarillado en margen derecha del canal Sur con calle 42"/>
    <n v="499904220"/>
    <s v="2 MESES"/>
    <s v="900-IP-0535-2022"/>
    <m/>
    <n v="202205696"/>
    <m/>
    <s v="N/A"/>
    <s v="N/A"/>
    <s v="N/A"/>
    <x v="2"/>
    <s v="HAROLD MONDRAGON"/>
    <d v="2022-09-05T00:00:00"/>
    <e v="#VALUE!"/>
    <e v="#VALUE!"/>
    <s v="SI"/>
    <s v="Entregado al area"/>
    <x v="1"/>
    <m/>
    <m/>
    <d v="2022-09-15T00:00:00"/>
    <s v="Sep"/>
    <m/>
    <n v="21"/>
    <n v="10"/>
    <s v="G"/>
    <s v="INVERSION"/>
    <s v="300-AO-2274-2022"/>
    <d v="2022-09-09T00:00:00"/>
    <n v="498989963"/>
    <s v="ENRIQUE LOURIDO CAICEDO EN REORGANIZACION"/>
    <n v="202208374"/>
    <n v="914257"/>
    <m/>
    <m/>
    <m/>
    <m/>
    <m/>
    <s v="CALI"/>
    <s v="LOCAL"/>
    <m/>
    <n v="1.828864337252444E-3"/>
    <n v="1"/>
    <n v="1"/>
  </r>
  <r>
    <n v="492"/>
    <s v="0536"/>
    <s v="GUENAA"/>
    <d v="2022-08-29T00:00:00"/>
    <x v="8"/>
    <s v="GAA0103"/>
    <s v="FR-300-GAA-0229-2022"/>
    <s v="N/A"/>
    <s v="Mantenimiento preventivo y correctivo para fotocopiadora de planos para la Unidad de Ingenieria (Incluye suministros y repuestos)."/>
    <n v="5000000"/>
    <m/>
    <s v="900-IP-0536-2022"/>
    <s v="IP-"/>
    <n v="202205598"/>
    <n v="5000000"/>
    <s v="N/A"/>
    <s v="N/A"/>
    <s v="N/A"/>
    <x v="2"/>
    <s v="JULIO ERAZO"/>
    <d v="2022-08-29T00:00:00"/>
    <e v="#VALUE!"/>
    <e v="#VALUE!"/>
    <s v="NO"/>
    <s v="Devuelto"/>
    <x v="2"/>
    <d v="2022-11-10T00:00:00"/>
    <s v="28 DE SEPTIEMBRE EN ELABORACION Y FPA_x000a_10-11-2022, se devuelve al area con memorando 901-0302-2022 de noviembre 3"/>
    <d v="2022-11-03T00:00:00"/>
    <m/>
    <s v="nov"/>
    <n v="66"/>
    <n v="66"/>
    <m/>
    <s v="FUNCIONAMIENTO"/>
    <m/>
    <m/>
    <m/>
    <m/>
    <m/>
    <m/>
    <m/>
    <m/>
    <m/>
    <m/>
    <m/>
    <m/>
    <m/>
    <m/>
    <m/>
    <n v="1"/>
    <m/>
  </r>
  <r>
    <n v="493"/>
    <s v="0537"/>
    <s v="GUENE"/>
    <d v="2022-08-30T00:00:00"/>
    <x v="8"/>
    <s v="GE0346"/>
    <s v="FR-500-GE-0259-2022"/>
    <s v="N/A"/>
    <s v="Suministro, montaje y puesta en funcionamiento de un Sistema Solar Fotovoltaico de generación con potencia instalada en DC de 600 kWp, en el cliente RED SALUD ORIENTE"/>
    <n v="3349741858"/>
    <m/>
    <s v="900-IPU-0537-2022"/>
    <s v="IPU"/>
    <n v="202205612"/>
    <n v="3349741858"/>
    <s v="N/A"/>
    <s v="N/A"/>
    <s v="N/A"/>
    <x v="0"/>
    <s v="LAURA ANGEL"/>
    <d v="2022-08-30T00:00:00"/>
    <e v="#VALUE!"/>
    <e v="#VALUE!"/>
    <s v="N/A"/>
    <s v="Devuelto"/>
    <x v="2"/>
    <d v="2022-11-10T00:00:00"/>
    <m/>
    <d v="2022-11-10T00:00:00"/>
    <m/>
    <s v="nov"/>
    <n v="72"/>
    <n v="72"/>
    <m/>
    <s v="INVERSION"/>
    <m/>
    <m/>
    <m/>
    <m/>
    <m/>
    <m/>
    <m/>
    <m/>
    <m/>
    <m/>
    <m/>
    <m/>
    <m/>
    <m/>
    <m/>
    <n v="1"/>
    <m/>
  </r>
  <r>
    <n v="494"/>
    <s v="0538"/>
    <s v="GC"/>
    <d v="2022-08-31T00:00:00"/>
    <x v="8"/>
    <s v="GC0526"/>
    <s v="FR-600-GC-0559-2022"/>
    <s v="N/A"/>
    <s v="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
    <n v="1402851900"/>
    <m/>
    <s v="900-IP-0538-2022"/>
    <s v="IP-"/>
    <n v="202203494"/>
    <n v="1402851900"/>
    <s v="N/A"/>
    <s v="N/A"/>
    <s v="N/A"/>
    <x v="2"/>
    <s v="ESTEFANIA SANCHEZ"/>
    <d v="2022-08-31T00:00:00"/>
    <e v="#VALUE!"/>
    <e v="#VALUE!"/>
    <s v="SI"/>
    <s v="Entregado al area"/>
    <x v="1"/>
    <d v="2022-11-24T00:00:00"/>
    <m/>
    <d v="2022-09-15T00:00:00"/>
    <s v="Nov"/>
    <s v="sep"/>
    <n v="15"/>
    <n v="15"/>
    <s v="L"/>
    <s v="FUNCIONAMIENTO"/>
    <s v="600-AO-2327-2022"/>
    <d v="2022-09-15T00:00:00"/>
    <n v="1402851900"/>
    <s v="CARVAJAL TECNOLOGIA  Y SERVICIO SAS"/>
    <n v="202208414"/>
    <n v="0"/>
    <m/>
    <m/>
    <m/>
    <m/>
    <m/>
    <m/>
    <m/>
    <m/>
    <n v="0"/>
    <n v="0"/>
    <n v="1"/>
  </r>
  <r>
    <n v="495"/>
    <s v="0539"/>
    <s v="GUENTIC"/>
    <d v="2022-08-31T00:00:00"/>
    <x v="8"/>
    <s v="GT0146"/>
    <s v="FR-400-GT-0199-2022"/>
    <s v="N/A"/>
    <s v="Adquisición de baterías (fuentes de poder) y modulos de alimentación electrica para la Matriz L que hace parte de la plataforma de IPTV (repuestos)"/>
    <n v="84338656"/>
    <m/>
    <s v="900-IP-0539-2022"/>
    <s v="IP-"/>
    <n v="202202998"/>
    <n v="84338656"/>
    <s v="N/A"/>
    <s v="N/A"/>
    <s v="N/A"/>
    <x v="2"/>
    <s v="JULIO ERAZO"/>
    <d v="2022-09-02T00:00:00"/>
    <e v="#VALUE!"/>
    <e v="#VALUE!"/>
    <s v="NO"/>
    <s v="Devuelto"/>
    <x v="2"/>
    <m/>
    <m/>
    <d v="2022-09-15T00:00:00"/>
    <m/>
    <s v="sep"/>
    <n v="15"/>
    <n v="13"/>
    <m/>
    <s v="OPERACIÓN"/>
    <m/>
    <m/>
    <m/>
    <m/>
    <m/>
    <m/>
    <m/>
    <m/>
    <m/>
    <m/>
    <m/>
    <m/>
    <m/>
    <m/>
    <m/>
    <n v="0"/>
    <m/>
  </r>
  <r>
    <n v="496"/>
    <s v="0540"/>
    <s v="GUENTIC"/>
    <d v="2022-08-31T00:00:00"/>
    <x v="8"/>
    <s v="GT0173"/>
    <s v="FR-400-GT-0205-2022"/>
    <s v="N/A"/>
    <s v="Soporte y Mantenimiento de alimentación DC (Potencia) de las UPS´s de San Fernando y Limonar de la UENTIC de EMCALI EICE ESP"/>
    <n v="99999903"/>
    <m/>
    <s v="900-IP-0540-2022"/>
    <s v="IP-"/>
    <n v="202205712"/>
    <n v="99999903"/>
    <s v="N/A"/>
    <s v="N/A"/>
    <s v="N/A"/>
    <x v="2"/>
    <s v="JULIO ERAZO"/>
    <d v="2022-09-02T00:00:00"/>
    <e v="#VALUE!"/>
    <e v="#VALUE!"/>
    <s v="NO"/>
    <s v="Cotizaciones"/>
    <x v="2"/>
    <m/>
    <m/>
    <d v="2022-09-10T00:00:00"/>
    <m/>
    <s v="sep"/>
    <n v="10"/>
    <n v="8"/>
    <m/>
    <s v="FUNCIONAMIENTO"/>
    <m/>
    <m/>
    <m/>
    <m/>
    <m/>
    <m/>
    <m/>
    <m/>
    <m/>
    <m/>
    <m/>
    <m/>
    <m/>
    <m/>
    <m/>
    <n v="0"/>
    <m/>
  </r>
  <r>
    <n v="497"/>
    <s v="0541"/>
    <s v="GUENAA"/>
    <d v="2022-08-31T00:00:00"/>
    <x v="8"/>
    <s v="GAA0104"/>
    <s v="FR-300-GAA-0231-2022"/>
    <s v="N/A"/>
    <s v="Mantenimiento correctivo y preventivo para Plotter de la Unidad de Ingenieria (Incluye Suministros y Repuestos)"/>
    <n v="10000000"/>
    <s v="45 DIAS"/>
    <s v="900-IP-0541-2022"/>
    <m/>
    <n v="202204376"/>
    <n v="10000000"/>
    <s v="N/A"/>
    <s v="N/A"/>
    <s v="N/A"/>
    <x v="2"/>
    <s v="NINFA SANTANA"/>
    <d v="2022-09-02T00:00:00"/>
    <e v="#VALUE!"/>
    <e v="#VALUE!"/>
    <s v="SI"/>
    <s v="Entregado al area"/>
    <x v="1"/>
    <m/>
    <m/>
    <d v="2022-09-22T00:00:00"/>
    <s v="Sep"/>
    <m/>
    <n v="22"/>
    <n v="20"/>
    <s v="G"/>
    <s v="FUNCIONAMIENTO"/>
    <s v="300-AO-2373-2022"/>
    <d v="2022-09-15T00:00:00"/>
    <n v="10000000"/>
    <s v="JAIME ANTONIO BASTIDAS OSORIO"/>
    <n v="202208494"/>
    <n v="0"/>
    <m/>
    <m/>
    <m/>
    <m/>
    <m/>
    <s v="CALI"/>
    <s v="LOCAL"/>
    <m/>
    <n v="0"/>
    <n v="1"/>
    <n v="1"/>
  </r>
  <r>
    <n v="498"/>
    <s v="0542"/>
    <s v="GUENAA"/>
    <d v="2022-08-31T00:00:00"/>
    <x v="8"/>
    <s v="GAA0788"/>
    <s v="FR-300-GAA-0232-2022"/>
    <s v="N/A"/>
    <s v="Suministrar un dosificador Manual Titrator Plus marca Metrohm para el Laboratorio de Aguas Residuales"/>
    <n v="29563947"/>
    <m/>
    <s v="900-IP-0542-2022"/>
    <s v="IP-"/>
    <n v="202205377"/>
    <m/>
    <m/>
    <m/>
    <s v="N/A"/>
    <x v="2"/>
    <s v="MARIA CAMILA OLIVEROS"/>
    <d v="2022-09-02T00:00:00"/>
    <e v="#VALUE!"/>
    <e v="#VALUE!"/>
    <m/>
    <s v="Cerrado"/>
    <x v="0"/>
    <d v="2022-12-30T00:00:00"/>
    <s v="28 DE SEPTIEMBRE EN REVISION DE FPA E INVITACION_x000a_12-11-2022 en espera de firma de FPA E INVITACION"/>
    <d v="2022-12-29T00:00:00"/>
    <m/>
    <s v="dic"/>
    <n v="120"/>
    <n v="118"/>
    <m/>
    <s v="INVERSION"/>
    <m/>
    <m/>
    <m/>
    <m/>
    <m/>
    <m/>
    <m/>
    <m/>
    <m/>
    <m/>
    <m/>
    <m/>
    <m/>
    <m/>
    <m/>
    <n v="1"/>
    <m/>
  </r>
  <r>
    <n v="499"/>
    <s v="0543"/>
    <s v="GUENAA"/>
    <d v="2022-08-31T00:00:00"/>
    <x v="8"/>
    <s v="GAA0790"/>
    <s v="FR-300-GAA-0233-2022"/>
    <s v="N/A"/>
    <s v="Suministrar gases y realizar mantenimiento a las lineas de gases de los Laboratorios de Ensayos de la UENAA"/>
    <n v="79805785"/>
    <m/>
    <s v="900-IP-0543-2022"/>
    <s v="IP-"/>
    <s v="202205540_x000a_202205541_x000a_202205542_x000a_202205666"/>
    <m/>
    <m/>
    <m/>
    <s v="N/A"/>
    <x v="2"/>
    <s v="MARIA CAMILA OLIVEROS"/>
    <d v="2022-09-02T00:00:00"/>
    <e v="#VALUE!"/>
    <e v="#VALUE!"/>
    <m/>
    <s v="Cerrado"/>
    <x v="0"/>
    <d v="2022-12-30T00:00:00"/>
    <s v="28 DE SEPTIEMBRE ESPERANDO REGISTRO DE PROVEEDORES _x000a_12-11-2022 En la cotización se envía para ajuste, se sale del presupuesto"/>
    <d v="2022-12-29T00:00:00"/>
    <m/>
    <s v="dic"/>
    <n v="120"/>
    <n v="118"/>
    <m/>
    <s v="FUNCIONAMIENTO"/>
    <m/>
    <m/>
    <m/>
    <m/>
    <m/>
    <m/>
    <m/>
    <m/>
    <m/>
    <m/>
    <m/>
    <m/>
    <m/>
    <m/>
    <m/>
    <n v="1"/>
    <m/>
  </r>
  <r>
    <n v="500"/>
    <s v="0544"/>
    <s v="GAGHA"/>
    <d v="2022-08-31T00:00:00"/>
    <x v="8"/>
    <s v="GHA0224_x000a_GHA0225_x000a_GHA0277_x000a_GHA0278"/>
    <s v="FR-800-GHA-0142-2022_x000a_FR-800-GHA-0139-2022"/>
    <s v="N/A"/>
    <s v="Realizar la compra de un (1) vehículo SUV 4X4 de 5 puertas; incluyendo el servicio de Diez (10) mantenimientos preventivos para el vehículo, con las adecuaciones requeridas por EMCALI EICE ESP_x000a__x000a_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453320213"/>
    <s v="28 DE NOVIEMBRE 2022"/>
    <s v="900-IP-0544-2022"/>
    <m/>
    <s v="202202682_x000a_202202679_x000a_202202571_x000a_202202573_x000a_202202574_x000a_202202575"/>
    <n v="679730053"/>
    <s v="N/A"/>
    <s v="N/A"/>
    <s v="N/A"/>
    <x v="2"/>
    <s v="LAURA PIMIENTA"/>
    <d v="2022-08-31T00:00:00"/>
    <n v="69"/>
    <n v="69"/>
    <s v="SI"/>
    <s v="Entregado al area"/>
    <x v="1"/>
    <s v="28 DE SEPTIMEBRE EN ESPERA DE LAS POLIZAS POR PARTE DEL PROVEEDOR"/>
    <m/>
    <d v="2022-10-19T00:00:00"/>
    <s v="Oct"/>
    <n v="49"/>
    <m/>
    <n v="49"/>
    <s v="L"/>
    <s v="FUNCIONAMIENTO"/>
    <s v="800-AO-2378-2022"/>
    <d v="2022-09-15T00:00:00"/>
    <n v="453320213"/>
    <s v="AUTOMOTORES FARALLONES SAS"/>
    <n v="202208542"/>
    <n v="0"/>
    <s v="CALI"/>
    <s v="LOCAL"/>
    <m/>
    <m/>
    <m/>
    <m/>
    <m/>
    <m/>
    <n v="0"/>
    <n v="0"/>
    <n v="1"/>
  </r>
  <r>
    <n v="501"/>
    <s v="0545"/>
    <s v="GUENTIC"/>
    <d v="2022-09-01T00:00:00"/>
    <x v="9"/>
    <s v="GT0249"/>
    <s v="FR-400-GT-0178-2022"/>
    <s v="N/A"/>
    <s v="Soporte técnico requerido para la operación, administración y manejo de la plataforma, incluyendo transferencia de conocimiento hacia el personal encargado de Zabbix en EMCALI EICE ESP"/>
    <n v="129108545"/>
    <m/>
    <s v="900-IP-0545-2022"/>
    <s v="IP-"/>
    <n v="202205066"/>
    <m/>
    <s v="N/A"/>
    <s v="N/A"/>
    <s v="N/A"/>
    <x v="2"/>
    <s v="JULIETA ORTIZ"/>
    <d v="2022-09-01T00:00:00"/>
    <e v="#VALUE!"/>
    <e v="#VALUE!"/>
    <m/>
    <s v="Entregado al area"/>
    <x v="1"/>
    <d v="2022-11-29T00:00:00"/>
    <s v="28 de septiembre en evaluacion de la oferta_x000a_12-11-2022, El IP-0463 se Cerro y el 900-IP-0545-2022 esta en Evaluacion de la Propuesta recibida. Se elbaoro AO. "/>
    <d v="2022-12-02T00:00:00"/>
    <s v="Dec"/>
    <s v="dic"/>
    <n v="92"/>
    <n v="92"/>
    <s v="G"/>
    <s v="FUNCIONAMIENTO"/>
    <s v="400-AO-2427-2022"/>
    <d v="2022-11-25T00:00:00"/>
    <n v="129108544"/>
    <s v="IMAGUNET SAS"/>
    <s v="AB2300002935"/>
    <n v="1"/>
    <m/>
    <m/>
    <m/>
    <m/>
    <m/>
    <m/>
    <m/>
    <m/>
    <n v="7.7454207233146341E-9"/>
    <n v="0"/>
    <n v="1"/>
  </r>
  <r>
    <n v="502"/>
    <s v="0546"/>
    <s v="GUENT"/>
    <d v="2022-09-01T00:00:00"/>
    <x v="9"/>
    <s v="GT0209"/>
    <s v="FR-400-GT-0172-2022"/>
    <s v="N/A"/>
    <s v="Mano de obra y materiales para el mantenimiento correctivo y preventivo de Tapas Circulares en Concreto con Sistema de Seguridad Mecánico, con el fin de proteger la red de acceso de EMCALI EICE ESP, según las especificaciones técnicas."/>
    <n v="33566000"/>
    <s v="31 DE DICIEBRE 2022"/>
    <s v="900-IP-0546-2022"/>
    <m/>
    <n v="202204412"/>
    <n v="33566000"/>
    <s v="N/A"/>
    <s v="N/A"/>
    <s v="N/A"/>
    <x v="2"/>
    <s v="JHON LARRY "/>
    <d v="2022-09-05T00:00:00"/>
    <e v="#VALUE!"/>
    <e v="#VALUE!"/>
    <s v="SI"/>
    <s v="Entregado al area"/>
    <x v="1"/>
    <m/>
    <m/>
    <d v="2022-09-29T00:00:00"/>
    <s v="Sep"/>
    <m/>
    <n v="28"/>
    <n v="24"/>
    <s v="G"/>
    <s v="FUNCIONAMIENTO"/>
    <s v="400-AO-2347-2022"/>
    <d v="2022-09-15T00:00:00"/>
    <n v="33565711"/>
    <s v="CARLOS HERNEY ARCINIEGAS"/>
    <n v="202208533"/>
    <n v="289"/>
    <m/>
    <m/>
    <m/>
    <m/>
    <m/>
    <s v="CALI"/>
    <s v="LOCAL"/>
    <m/>
    <n v="8.6099028779121728E-6"/>
    <n v="1"/>
    <n v="1"/>
  </r>
  <r>
    <n v="503"/>
    <s v="0547"/>
    <s v="GUENAA"/>
    <d v="2022-09-01T00:00:00"/>
    <x v="9"/>
    <s v="PRECALIF"/>
    <s v="FR-300-GAA-0227-2022"/>
    <s v="N/A"/>
    <s v="Realizar la contratación de la consultoría sobre la formulación del Plan Maestro de Acueducto y Alcantarillado del Área de Prestación de Servicios de EMCALI EICE ESP"/>
    <n v="36219452607"/>
    <m/>
    <s v="900-IPU-547-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m/>
    <s v="nov"/>
    <n v="90"/>
    <n v="86"/>
    <m/>
    <s v="INVERSION"/>
    <m/>
    <m/>
    <m/>
    <m/>
    <m/>
    <m/>
    <m/>
    <m/>
    <m/>
    <m/>
    <m/>
    <m/>
    <m/>
    <m/>
    <m/>
    <n v="1"/>
    <m/>
  </r>
  <r>
    <n v="504"/>
    <s v="0548"/>
    <s v="GUENAA"/>
    <d v="2022-09-01T00:00:00"/>
    <x v="9"/>
    <s v="PRECALIF"/>
    <s v="FR-300-GAA-0240-2022"/>
    <s v="N/A"/>
    <s v="Realizar la contratación de la Interventoría a la Consultoría sobre la formulación del Plan Maestro de Acueducto y Alcantarillado del Área de Prestación de Servicios de EMCALI EICE ESP"/>
    <n v="5079331605"/>
    <m/>
    <s v="900-IPU-548-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m/>
    <s v="nov"/>
    <n v="90"/>
    <n v="86"/>
    <m/>
    <s v="INVERSION"/>
    <m/>
    <m/>
    <m/>
    <m/>
    <m/>
    <m/>
    <m/>
    <m/>
    <m/>
    <m/>
    <m/>
    <m/>
    <m/>
    <m/>
    <m/>
    <n v="1"/>
    <m/>
  </r>
  <r>
    <n v="505"/>
    <s v="0549"/>
    <s v="GUENAA"/>
    <d v="2022-09-01T00:00:00"/>
    <x v="9"/>
    <s v="GAA0061"/>
    <s v="FR-300-GAA-0235-2022"/>
    <s v="N/A"/>
    <s v="Suministro de materiales para realizar calibraciones en el laboratorio de medidores acueducto"/>
    <n v="20584933"/>
    <m/>
    <s v="900-IP-0549-2022"/>
    <s v="IP-"/>
    <n v="202202266"/>
    <m/>
    <s v="N/A"/>
    <s v="N/A"/>
    <s v="N/A"/>
    <x v="2"/>
    <s v="NINFA SANTANA"/>
    <d v="2022-09-05T00:00:00"/>
    <e v="#VALUE!"/>
    <e v="#VALUE!"/>
    <s v="NO"/>
    <s v="Devuelto"/>
    <x v="2"/>
    <m/>
    <m/>
    <d v="2022-09-15T00:00:00"/>
    <m/>
    <s v="sep"/>
    <n v="14"/>
    <n v="10"/>
    <s v="G"/>
    <s v="FUNCIONAMIENTO"/>
    <m/>
    <m/>
    <m/>
    <m/>
    <m/>
    <m/>
    <m/>
    <m/>
    <m/>
    <m/>
    <m/>
    <m/>
    <m/>
    <m/>
    <m/>
    <n v="1"/>
    <m/>
  </r>
  <r>
    <n v="506"/>
    <s v="0550"/>
    <s v="GUENAA"/>
    <d v="2022-09-01T00:00:00"/>
    <x v="9"/>
    <s v="GAA0792"/>
    <s v="FR-300-GAA-0236-2022"/>
    <s v="N/A"/>
    <s v="Suministro de materiales (elementos, repuestos y cristaleria) y equipos para realizar ensayos en los Laboratorios de Ensayos de la UENAA"/>
    <n v="442326099"/>
    <m/>
    <s v="900-IP-0550-2022"/>
    <s v="IP-"/>
    <s v="202202246_x000a_202202248_x000a_202205378"/>
    <n v="442326099"/>
    <s v="N/A"/>
    <s v="N/A"/>
    <s v="N/A"/>
    <x v="2"/>
    <s v="LINA ECHAVARRIA"/>
    <d v="2022-09-05T00:00:00"/>
    <e v="#VALUE!"/>
    <e v="#VALUE!"/>
    <m/>
    <s v="Cerrado"/>
    <x v="0"/>
    <d v="2022-12-09T00:00:00"/>
    <s v="28 DE SEPTIEMBRE EN FPA E INVITACION_x000a_30-11-2022, SE PASO PARA REVISION DE SARHA EN GAE"/>
    <d v="2022-12-26T00:00:00"/>
    <m/>
    <s v="dic"/>
    <n v="116"/>
    <n v="112"/>
    <m/>
    <s v="FUNCIONAMIENTO"/>
    <m/>
    <m/>
    <m/>
    <m/>
    <m/>
    <m/>
    <m/>
    <m/>
    <m/>
    <m/>
    <m/>
    <m/>
    <m/>
    <m/>
    <m/>
    <n v="1"/>
    <m/>
  </r>
  <r>
    <n v="507"/>
    <s v="0551"/>
    <s v="GUENAA"/>
    <d v="2022-09-01T00:00:00"/>
    <x v="9"/>
    <s v="GAA0787_x000a_GAA0693"/>
    <s v="FR-300-GAA-0237-2022"/>
    <s v="N/A"/>
    <s v="Suministro de equipos marca HACH para los Laboratorios de Ensayos de la UENAA"/>
    <n v="195000000"/>
    <m/>
    <s v="900-IP-551-2022"/>
    <s v="IP-"/>
    <s v="202205375_x000a_202205376_x000a_202202252"/>
    <m/>
    <m/>
    <m/>
    <s v="N/A"/>
    <x v="2"/>
    <s v="IVAN ALDANA"/>
    <d v="2022-09-05T00:00:00"/>
    <e v="#VALUE!"/>
    <e v="#VALUE!"/>
    <m/>
    <s v="Entregado al area"/>
    <x v="1"/>
    <d v="2022-12-19T00:00:00"/>
    <s v="28 DE SEPTIEMBRE EN ELABORACIONDE FPA E INVITACION_x000a_24-11-2022, LO TIENE LA ASESORA SAHARA DE GAE QUIEN HACE AJUSTES Y DEVUELVE AL ASESOR EL 15 Y SE LE VOLVIO A PASAR EL 18 DE NOVIEMBRE A LA ASESORA "/>
    <d v="2022-12-19T00:00:00"/>
    <s v="Dec"/>
    <s v="dic"/>
    <n v="109"/>
    <n v="105"/>
    <s v="G"/>
    <s v="INVERSION"/>
    <s v="300-AO-2456-2022"/>
    <d v="2022-12-07T00:00:00"/>
    <n v="188980319"/>
    <s v="HACH COLOMBIA SAS"/>
    <s v="AB-2300002978"/>
    <n v="6019681"/>
    <m/>
    <m/>
    <m/>
    <m/>
    <m/>
    <m/>
    <m/>
    <m/>
    <n v="3.0870158974358974E-2"/>
    <n v="1"/>
    <n v="1"/>
  </r>
  <r>
    <n v="508"/>
    <s v="0552"/>
    <s v="GUENAA"/>
    <d v="2022-09-01T00:00:00"/>
    <x v="9"/>
    <s v="GAA0789_x000a_GAA0065_x000a_GAA0066"/>
    <s v="FR-300-GAA-0238-2022"/>
    <s v="N/A"/>
    <s v="Suministro de reactivos y equipos para realizar ensayos en los Laboratorios de la UENAA"/>
    <n v="173375027"/>
    <m/>
    <s v="900-IP-0552-2022"/>
    <s v="IP-"/>
    <s v="202205543_x000a_202205544_x000a_202202250_x000a_202202255"/>
    <m/>
    <s v="N/A"/>
    <s v="N/A"/>
    <s v="N/A"/>
    <x v="2"/>
    <s v="LUCY ARBELAEZ"/>
    <d v="2022-09-05T00:00:00"/>
    <e v="#VALUE!"/>
    <e v="#VALUE!"/>
    <m/>
    <s v="Entregado al area"/>
    <x v="1"/>
    <d v="2022-11-30T00:00:00"/>
    <s v="28 DE SEPTIEMBRE EN ELABORACIONDE FPA E INVITACION"/>
    <d v="2022-11-30T00:00:00"/>
    <s v="Dec"/>
    <s v="nov"/>
    <n v="90"/>
    <n v="86"/>
    <s v="G"/>
    <s v="FUNCIONAMIENTO"/>
    <s v="300-AO-2434-2022"/>
    <d v="2022-11-30T00:00:00"/>
    <n v="168762268"/>
    <s v="CONTROL E INSTRUMENTACION INDUSTRIAL DE COLOMBIA SAS"/>
    <m/>
    <n v="4612759"/>
    <m/>
    <m/>
    <m/>
    <m/>
    <m/>
    <m/>
    <m/>
    <m/>
    <n v="2.6605671415410939E-2"/>
    <n v="1"/>
    <n v="1"/>
  </r>
  <r>
    <n v="509"/>
    <s v="0553"/>
    <s v="GUENAA"/>
    <d v="2022-09-01T00:00:00"/>
    <x v="9"/>
    <s v="GAA0062_x000a_GAA0063"/>
    <s v="FR-300-GAA-0239-2022"/>
    <s v="N/A"/>
    <s v="Suministro de reactivos, medios de cultivo y materiales de referencia para realizar ensayos en los Laboratorios de Ensayos de la UENAA"/>
    <n v="238618909"/>
    <m/>
    <s v="900-IP-0553-2022"/>
    <s v="IP-"/>
    <s v="202205450_x000a_202202975_x000a_202203884_x000a_202205449"/>
    <m/>
    <s v="N/A"/>
    <s v="N/A"/>
    <s v="N/A"/>
    <x v="2"/>
    <s v="LUCY ARBELAEZ"/>
    <d v="2022-09-05T00:00:00"/>
    <e v="#VALUE!"/>
    <e v="#VALUE!"/>
    <m/>
    <s v="Entregado al area"/>
    <x v="1"/>
    <d v="2022-11-30T00:00:00"/>
    <s v="28 DE SEPTIEMBRE EN ELABORACIONDE FPA E INVITACION"/>
    <d v="2022-12-15T00:00:00"/>
    <s v="Dec"/>
    <s v="dic"/>
    <n v="105"/>
    <n v="101"/>
    <s v="G"/>
    <s v="FUNCIONAMIENTO"/>
    <s v="300-AO-2453-2022"/>
    <d v="2022-12-07T00:00:00"/>
    <n v="237158472"/>
    <s v="PROFINAS SAS"/>
    <m/>
    <n v="1460437"/>
    <m/>
    <m/>
    <m/>
    <m/>
    <m/>
    <m/>
    <m/>
    <m/>
    <n v="6.1203741401734428E-3"/>
    <n v="1"/>
    <n v="1"/>
  </r>
  <r>
    <n v="510"/>
    <s v="0554"/>
    <s v="GUENAA"/>
    <d v="2022-09-02T00:00:00"/>
    <x v="9"/>
    <s v="GAA0796"/>
    <s v="FR-300-GAA-0234-2022"/>
    <s v="N/A"/>
    <s v="Suministro de Alcalinizante para las Plantas de Tratamiento de Agua Potable de la Unidad de Producción de Agua Potable: Cal Viva"/>
    <n v="412536670"/>
    <s v="90 DIAS"/>
    <s v="900-IP-0554-2022"/>
    <m/>
    <s v="202202688_x000a_202203114"/>
    <n v="412536670"/>
    <s v="N/A"/>
    <s v="N/A"/>
    <s v="N/A"/>
    <x v="2"/>
    <s v="AYDEE OVALLE"/>
    <d v="2022-09-02T00:00:00"/>
    <e v="#VALUE!"/>
    <e v="#VALUE!"/>
    <s v="SI"/>
    <s v="Entregado al area"/>
    <x v="1"/>
    <m/>
    <m/>
    <d v="2022-09-14T00:00:00"/>
    <s v="Sep"/>
    <m/>
    <n v="12"/>
    <n v="12"/>
    <s v="G"/>
    <s v="OPERACIÓN"/>
    <s v="300-AO-2272-2022"/>
    <d v="2022-09-09T00:00:00"/>
    <n v="412536670"/>
    <s v="CALABASTOS SAS"/>
    <n v="202208360"/>
    <n v="0"/>
    <m/>
    <m/>
    <m/>
    <m/>
    <m/>
    <s v="VIJES"/>
    <s v="MUNICIPAL"/>
    <m/>
    <n v="0"/>
    <n v="1"/>
    <n v="1"/>
  </r>
  <r>
    <n v="511"/>
    <s v="0555"/>
    <s v="GUENE"/>
    <d v="2022-09-02T00:00:00"/>
    <x v="9"/>
    <s v="GE0364"/>
    <s v="FR-500-GE-0256-2022"/>
    <s v="N/A"/>
    <s v="Servicio de integración de los datos entre el sistema de control de la subestación Alferez y el Centro de Control de Energía"/>
    <n v="20000000"/>
    <m/>
    <s v="900-IP-0555-2022"/>
    <s v="IP-"/>
    <n v="202205452"/>
    <m/>
    <s v="N/A"/>
    <s v="N/A"/>
    <s v="N/A"/>
    <x v="2"/>
    <s v="LUCY ARBELAEZ"/>
    <d v="2022-09-05T00:00:00"/>
    <e v="#VALUE!"/>
    <e v="#VALUE!"/>
    <s v="NO"/>
    <s v="Devuelto"/>
    <x v="2"/>
    <d v="2022-11-15T00:00:00"/>
    <s v="SE DEVUELVE AL AREA DEBIDO EL UNICO PROVEEDOR QUE OFERTO NO CUENTA CON PERSONAL IDONEO HASTA ENERO 2023, MEMORANDO 900-0458-2022 DEL 15 DE NOVIEMBRE"/>
    <d v="2022-11-15T00:00:00"/>
    <m/>
    <s v="nov"/>
    <n v="74"/>
    <n v="71"/>
    <m/>
    <s v="FUNCIONAMIENTO"/>
    <m/>
    <m/>
    <m/>
    <m/>
    <m/>
    <m/>
    <m/>
    <m/>
    <m/>
    <m/>
    <m/>
    <m/>
    <m/>
    <m/>
    <m/>
    <n v="1"/>
    <m/>
  </r>
  <r>
    <n v="512"/>
    <s v="0556"/>
    <s v="GC"/>
    <d v="2022-09-05T00:00:00"/>
    <x v="9"/>
    <s v="GC0515"/>
    <s v="FR-600-GC-0558-2022"/>
    <s v="N/A"/>
    <s v="Compra televisores, soporte para televisores y hornos mocroondas para los Centros de Atención y el Contact Center de EMCALI EICE ESP"/>
    <n v="43500000"/>
    <m/>
    <s v="900-IP-0556-2022"/>
    <s v="IP-"/>
    <n v="202201388"/>
    <m/>
    <s v="N/A"/>
    <s v="N/A"/>
    <s v="N/A"/>
    <x v="2"/>
    <s v="CAMILO NUÑEZ"/>
    <d v="2022-09-05T00:00:00"/>
    <e v="#VALUE!"/>
    <e v="#VALUE!"/>
    <s v="NO"/>
    <s v="Devuelto"/>
    <x v="2"/>
    <d v="2022-11-24T00:00:00"/>
    <s v="28 DE SEPTIEMBRE EN ELABORACIONDE FPA E INVITACION_x000a_24-11-2022, DEVUELTO AL AREA EL DIA 17/11/2022, DEBIDO A QUE SE DEBE COMPRAR POR GRANDES SUPERFICIES (LITERAL E ARTICULO 3 RESOLUCION J.D No 004 DE OCTUBRE 2020_x000a_"/>
    <d v="2022-11-17T00:00:00"/>
    <m/>
    <s v="nov"/>
    <n v="73"/>
    <n v="73"/>
    <s v="G"/>
    <s v="FUNCIONAMIENTO"/>
    <m/>
    <m/>
    <m/>
    <m/>
    <m/>
    <m/>
    <m/>
    <m/>
    <m/>
    <m/>
    <m/>
    <m/>
    <m/>
    <m/>
    <m/>
    <n v="0"/>
    <m/>
  </r>
  <r>
    <n v="513"/>
    <s v="0557"/>
    <s v="GAGHA"/>
    <d v="2022-09-05T00:00:00"/>
    <x v="9"/>
    <s v="GHA0066"/>
    <s v="FR-800-GHA-0185-2022"/>
    <s v="N/A"/>
    <s v="Realizar la compra de jabon liquido espumoso para el lavado de manos"/>
    <n v="200457042"/>
    <m/>
    <s v="900-IP-0557-2022"/>
    <s v="IP-"/>
    <n v="202201122"/>
    <m/>
    <s v="N/A"/>
    <s v="N/A"/>
    <s v="N/A"/>
    <x v="2"/>
    <s v="JHON LARRY CAICEDO"/>
    <d v="2022-09-06T00:00:00"/>
    <e v="#VALUE!"/>
    <e v="#VALUE!"/>
    <m/>
    <s v="Cerrado"/>
    <x v="0"/>
    <d v="2022-11-30T00:00:00"/>
    <s v="28 DE SEPTIEMBRE EM ELABORACION DE FPA E INVITACION"/>
    <d v="2022-11-28T00:00:00"/>
    <m/>
    <s v="nov"/>
    <n v="84"/>
    <n v="83"/>
    <s v="G"/>
    <s v="FUNCIONAMIENTO"/>
    <m/>
    <m/>
    <m/>
    <m/>
    <m/>
    <m/>
    <m/>
    <m/>
    <m/>
    <m/>
    <m/>
    <m/>
    <m/>
    <m/>
    <m/>
    <n v="0"/>
    <m/>
  </r>
  <r>
    <n v="514"/>
    <s v="0558"/>
    <s v="GAGHA"/>
    <d v="2022-09-05T00:00:00"/>
    <x v="9"/>
    <s v="GHA0263"/>
    <s v="FR-800-GHA-0176-2022"/>
    <s v="800-CMA-1914-2021"/>
    <s v="Realizar las actividades necesarias para llevar a cabo las adecuaciones locativas y mantenimiento preventivos y correctivos en la Gerencia de Unidad Estrategica de Negocio de Acuaducto y Alcantarillado - Reparación Cubiertas Planta Centro Operativo Navarro"/>
    <n v="859987508"/>
    <s v="31 DE DICIEMBRE 2022"/>
    <s v="N/A"/>
    <m/>
    <n v="202204461"/>
    <n v="859987508"/>
    <s v="N/A"/>
    <s v="N/A"/>
    <s v="N/A"/>
    <x v="1"/>
    <s v="FRANCIA RAMÍREZ"/>
    <d v="2022-09-05T00:00:00"/>
    <e v="#VALUE!"/>
    <e v="#VALUE!"/>
    <s v="SI"/>
    <s v="Entregado al area"/>
    <x v="1"/>
    <m/>
    <m/>
    <d v="2022-09-26T00:00:00"/>
    <s v="Sep"/>
    <m/>
    <n v="21"/>
    <n v="21"/>
    <s v="N/A"/>
    <s v="FUNCIONAMIENTO"/>
    <s v="800-CMA-1914-2021/800-AO-2332-2022"/>
    <d v="2022-09-15T00:00:00"/>
    <n v="818754201"/>
    <s v="UNION TEMPORAL M&amp;C2021"/>
    <n v="202208536"/>
    <n v="41233307"/>
    <m/>
    <m/>
    <m/>
    <m/>
    <m/>
    <s v="CALI"/>
    <s v="LOCA"/>
    <m/>
    <n v="4.7946402263322176E-2"/>
    <n v="0"/>
    <n v="0"/>
  </r>
  <r>
    <n v="515"/>
    <s v="0559"/>
    <s v="GUENTIC"/>
    <d v="2022-09-05T00:00:00"/>
    <x v="9"/>
    <s v="GT0173"/>
    <s v="FR-400-GT-0200-2022"/>
    <s v="N/A"/>
    <s v="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
    <n v="8356062"/>
    <m/>
    <s v="900-IP-0559-2022"/>
    <s v="IP-"/>
    <s v="202205463_x000a_202205601"/>
    <m/>
    <m/>
    <m/>
    <s v="N/A"/>
    <x v="2"/>
    <s v="JULIO ERAZO"/>
    <d v="2022-09-06T00:00:00"/>
    <e v="#VALUE!"/>
    <e v="#VALUE!"/>
    <s v="NO"/>
    <s v="Devuelto"/>
    <x v="2"/>
    <d v="2022-11-10T00:00:00"/>
    <s v="EL 11 DE NOVIEMBRE SE DEVUELVE EL PROCESO AL AREA MEDIANTE MEMORANDO 901-0312-2022"/>
    <d v="2022-11-11T00:00:00"/>
    <m/>
    <s v="nov"/>
    <n v="67"/>
    <n v="66"/>
    <m/>
    <s v="FUNCIONAMIENTO"/>
    <m/>
    <m/>
    <m/>
    <m/>
    <m/>
    <m/>
    <m/>
    <m/>
    <m/>
    <m/>
    <m/>
    <m/>
    <m/>
    <m/>
    <m/>
    <n v="0"/>
    <m/>
  </r>
  <r>
    <n v="516"/>
    <s v="0560"/>
    <s v="GUENTIC"/>
    <d v="2022-09-06T00:00:00"/>
    <x v="9"/>
    <s v="GT0134"/>
    <s v="FR-400-GT-0162-2022"/>
    <s v="N/A"/>
    <s v="Suministro Plataforma de control Softswitch clase 4 y clase 5 y SBC para la GUENTIC"/>
    <n v="1500000000"/>
    <m/>
    <s v="900-IPU-0560-2022"/>
    <s v="IPU"/>
    <n v="202202659"/>
    <m/>
    <s v="N/A"/>
    <s v="N/A"/>
    <s v="N/A"/>
    <x v="0"/>
    <s v="ANA MARIA GIL"/>
    <d v="2022-09-06T00:00:00"/>
    <e v="#VALUE!"/>
    <e v="#VALUE!"/>
    <s v="NO"/>
    <s v="Devuelto"/>
    <x v="2"/>
    <m/>
    <s v="28 DE SEPTIEMBRE EN ELABORACIONDE FPA E INVITACION"/>
    <d v="2022-09-28T00:00:00"/>
    <m/>
    <s v="sep"/>
    <n v="22"/>
    <n v="22"/>
    <s v="N/A"/>
    <s v="INVERSION"/>
    <m/>
    <m/>
    <m/>
    <m/>
    <m/>
    <m/>
    <m/>
    <m/>
    <m/>
    <m/>
    <m/>
    <m/>
    <m/>
    <m/>
    <m/>
    <n v="0"/>
    <m/>
  </r>
  <r>
    <n v="517"/>
    <s v="0561"/>
    <s v="GUENAA"/>
    <d v="2022-09-06T00:00:00"/>
    <x v="9"/>
    <s v="GAA0798"/>
    <s v="FR-300-GAA-0153-2022"/>
    <s v="N/A"/>
    <s v="Renovar los componentes priorizados del sistema de filtración de las PTAPS de la Red Alta (Río Cali y La Reforma)"/>
    <n v="1310994372"/>
    <m/>
    <s v="900-IP-0561-2022"/>
    <s v="IP-"/>
    <s v="202202667_x000a_202202668"/>
    <m/>
    <m/>
    <m/>
    <s v="N/A"/>
    <x v="2"/>
    <s v="HAROLD MONDRAGON"/>
    <d v="2022-09-06T00:00:00"/>
    <e v="#VALUE!"/>
    <e v="#VALUE!"/>
    <m/>
    <s v="Cerrado"/>
    <x v="0"/>
    <d v="2022-12-09T00:00:00"/>
    <s v="28 DE SPETIEMBRE EN EVALUACION_x000a_10-11-2022, pediente aclaracion por parte del proponente "/>
    <d v="2022-12-09T00:00:00"/>
    <m/>
    <s v="dic"/>
    <n v="94"/>
    <n v="94"/>
    <s v="B"/>
    <s v="INVERSION"/>
    <m/>
    <m/>
    <m/>
    <m/>
    <m/>
    <m/>
    <m/>
    <m/>
    <m/>
    <m/>
    <m/>
    <m/>
    <m/>
    <m/>
    <m/>
    <n v="1"/>
    <m/>
  </r>
  <r>
    <n v="518"/>
    <s v="0562"/>
    <s v="GUENAA"/>
    <d v="2022-09-06T00:00:00"/>
    <x v="9"/>
    <s v="GAA0801"/>
    <s v="FR-300-GAA-0241-2022"/>
    <s v="N/A"/>
    <s v="Mantenimiento preventivo y correctivo de los componentes hidráulicos y obra civiles de las estaciones reguladoras de presion - ERP, puntos criticos - PC, en los sectores materializados del sistema de distribución de Agua Potable de la ciudad de Cali"/>
    <n v="499994047"/>
    <s v="2 MESES"/>
    <s v="900-IP-0562-2022"/>
    <m/>
    <n v="202200782"/>
    <n v="2200000000"/>
    <s v="N/A"/>
    <s v="N/A"/>
    <s v="N/A"/>
    <x v="2"/>
    <s v="HAROLD MONDRAGON"/>
    <d v="2022-09-06T00:00:00"/>
    <e v="#VALUE!"/>
    <e v="#VALUE!"/>
    <s v="SI"/>
    <s v="Entregado al area"/>
    <x v="1"/>
    <m/>
    <m/>
    <d v="2022-09-21T00:00:00"/>
    <s v="Sep"/>
    <m/>
    <n v="15"/>
    <n v="15"/>
    <s v="G"/>
    <s v="FUNCIONAMIENTO"/>
    <s v="300-AO-2291-2022"/>
    <d v="2022-09-14T00:00:00"/>
    <n v="498670335"/>
    <s v="ALVARO LAZARO DEL VALLE"/>
    <n v="202208432"/>
    <n v="1323712"/>
    <m/>
    <m/>
    <m/>
    <m/>
    <m/>
    <s v="CALI"/>
    <s v="LOCAL"/>
    <m/>
    <n v="2.6474555206054285E-3"/>
    <n v="1"/>
    <n v="1"/>
  </r>
  <r>
    <n v="519"/>
    <s v="0563"/>
    <s v="GUENAA"/>
    <d v="2022-09-06T00:00:00"/>
    <x v="9"/>
    <s v="GAA0798"/>
    <s v="FR-300-GAA-0242-2022"/>
    <s v="N/A"/>
    <s v="Mantenimiento de los componentes eléctricos, de instrumentación y comunicaciones en las estaciones reguladoras de presion (ERP), puntoscríticos (PC) de la Sectorización Hidráulica"/>
    <n v="499995611"/>
    <s v="2 MESES"/>
    <s v="900-IP-0563-2022"/>
    <m/>
    <n v="202200782"/>
    <n v="2200000000"/>
    <s v="N/A"/>
    <s v="N/A"/>
    <s v="N/A"/>
    <x v="2"/>
    <s v="HAROLD MONDRAGON"/>
    <d v="2022-09-21T00:00:00"/>
    <e v="#VALUE!"/>
    <e v="#VALUE!"/>
    <s v="SI"/>
    <s v="Entregado al area"/>
    <x v="1"/>
    <m/>
    <m/>
    <d v="2022-09-21T00:00:00"/>
    <s v="Sep"/>
    <m/>
    <n v="15"/>
    <n v="0"/>
    <s v="G"/>
    <s v="FUNCIONAMIENTO"/>
    <s v="300-AO-2289-2022"/>
    <d v="2022-09-14T00:00:00"/>
    <n v="499859500"/>
    <s v="EQUIPOSY HERRAMIENTAS INDUSTRIALES SAS"/>
    <n v="202208431"/>
    <n v="136111"/>
    <m/>
    <m/>
    <m/>
    <m/>
    <m/>
    <s v="CALI"/>
    <s v="LOCAL"/>
    <m/>
    <n v="2.7222438958569178E-4"/>
    <n v="1"/>
    <n v="1"/>
  </r>
  <r>
    <n v="520"/>
    <s v="0564"/>
    <s v="GUENAA"/>
    <d v="2022-09-06T00:00:00"/>
    <x v="9"/>
    <s v="GAA0799"/>
    <s v="FR-300-GAA-0243-2022"/>
    <s v="N/A"/>
    <s v="Mantenimientos de los macromedidores electromagneticos de la sectorización hidráulica del sistema de distribución de Agua Potable de la ciudad de Cali"/>
    <n v="498025516"/>
    <s v="2 MESES"/>
    <s v="900-IP-0564-2022"/>
    <m/>
    <n v="202200782"/>
    <m/>
    <s v="N/A"/>
    <s v="N/A"/>
    <s v="N/A"/>
    <x v="2"/>
    <s v="HAROLD MONDRAGON"/>
    <d v="2022-09-06T00:00:00"/>
    <e v="#VALUE!"/>
    <e v="#VALUE!"/>
    <s v="SI"/>
    <s v="Entregado al area"/>
    <x v="1"/>
    <m/>
    <m/>
    <d v="2022-09-23T00:00:00"/>
    <s v="Sep"/>
    <m/>
    <n v="17"/>
    <n v="17"/>
    <s v="G"/>
    <s v="FUNCIONAMIENTO"/>
    <s v="300-AO-2294-2022"/>
    <d v="2022-09-15T00:00:00"/>
    <n v="498012620"/>
    <s v="EQUIPOS Y HERRAMIENTAS INDUSTRIALES SAS"/>
    <n v="202208439"/>
    <n v="12896"/>
    <m/>
    <m/>
    <m/>
    <m/>
    <m/>
    <s v="CALI"/>
    <s v="LOCAL"/>
    <m/>
    <n v="2.5894255586695681E-5"/>
    <n v="1"/>
    <n v="1"/>
  </r>
  <r>
    <n v="521"/>
    <s v="0565"/>
    <s v="GUENAA"/>
    <d v="2022-09-06T00:00:00"/>
    <x v="9"/>
    <s v="GAA0800"/>
    <s v="FR-300-GAA-0244-2022"/>
    <s v="N/A"/>
    <s v="Mantenimientos de CAP Y Dataloger de las estaciones reguladoras de presión (ERP) y puntos criticos (PC) del sistema de distribución de Agua Potable de EMCALI EICE ESP"/>
    <n v="499973007"/>
    <s v="2 MESES"/>
    <s v="900-IP-0565-2022"/>
    <m/>
    <n v="202200782"/>
    <m/>
    <s v="N/A"/>
    <s v="N/A"/>
    <s v="N/A"/>
    <x v="2"/>
    <s v="HAROLD MONDRAGON"/>
    <d v="2022-09-06T00:00:00"/>
    <e v="#VALUE!"/>
    <e v="#VALUE!"/>
    <s v="SI"/>
    <s v="Entregado al area"/>
    <x v="1"/>
    <m/>
    <m/>
    <d v="2022-09-21T00:00:00"/>
    <s v="Sep"/>
    <m/>
    <n v="15"/>
    <n v="15"/>
    <s v="G"/>
    <s v="FUNCIONAMIENTO"/>
    <s v="300-AO-2290-2022"/>
    <d v="2022-09-14T00:00:00"/>
    <n v="498251989"/>
    <s v="ALVARO LAZARO DEL VALLE "/>
    <m/>
    <n v="1721018"/>
    <m/>
    <m/>
    <m/>
    <m/>
    <m/>
    <m/>
    <m/>
    <m/>
    <n v="3.442221831787811E-3"/>
    <n v="1"/>
    <n v="1"/>
  </r>
  <r>
    <n v="522"/>
    <s v="0566"/>
    <s v="GTI"/>
    <d v="2022-09-08T00:00:00"/>
    <x v="9"/>
    <m/>
    <s v="FR-200-GTI-0119-2022"/>
    <s v="N/A"/>
    <s v="Suscripción para uso de la plataforma de servicios de las API´s (Application Programming Interface) de Google Maps, para cumplir con los requerimientos propios o de Ley, respecto a la geolocalización de servicios, personas, rutas"/>
    <n v="1000000"/>
    <m/>
    <s v="900-IP-0566-2022"/>
    <s v="IP-"/>
    <n v="202205711"/>
    <m/>
    <m/>
    <m/>
    <s v="N/A"/>
    <x v="2"/>
    <s v="FRANCIA RAMÍREZ"/>
    <d v="2022-09-08T00:00:00"/>
    <e v="#VALUE!"/>
    <e v="#VALUE!"/>
    <m/>
    <s v="Entregado al area"/>
    <x v="1"/>
    <d v="2022-12-21T00:00:00"/>
    <m/>
    <d v="2022-12-20T00:00:00"/>
    <s v="Dec"/>
    <s v="dic"/>
    <n v="103"/>
    <n v="103"/>
    <s v="G"/>
    <s v="FUNCIONAMIENTO"/>
    <s v="200-AO-2462-2022"/>
    <d v="2022-12-13T00:00:00"/>
    <n v="999600"/>
    <s v="CARLOS GIOVANNI PARADA AVILA"/>
    <s v="AB-2300002991"/>
    <n v="400"/>
    <m/>
    <m/>
    <m/>
    <m/>
    <m/>
    <m/>
    <m/>
    <m/>
    <n v="4.0000000000000002E-4"/>
    <n v="0"/>
    <n v="1"/>
  </r>
  <r>
    <n v="523"/>
    <s v="0567"/>
    <s v="GTI"/>
    <d v="2022-09-09T00:00:00"/>
    <x v="9"/>
    <s v="GTI0037"/>
    <s v="FR-200-GTI-0114-2022"/>
    <s v="N/A"/>
    <s v="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
    <n v="177488500"/>
    <s v="28 DE NOVIEMBRE 2022"/>
    <s v="900-IP-0567-2022"/>
    <m/>
    <n v="202205631"/>
    <n v="177488500"/>
    <s v="N/A"/>
    <s v="N/A"/>
    <s v="N/A"/>
    <x v="2"/>
    <s v="CAMILO NUÑEZ"/>
    <d v="2022-09-12T00:00:00"/>
    <n v="60"/>
    <n v="57"/>
    <s v="SI"/>
    <s v="Entregado al area"/>
    <x v="1"/>
    <s v="28 DE SEPTIEMBRE EN SOLICITUD DE POLIZAS"/>
    <m/>
    <d v="2022-10-06T00:00:00"/>
    <s v="Oct"/>
    <n v="27"/>
    <m/>
    <n v="24"/>
    <s v="G"/>
    <s v="FUNCIONAMIENTO"/>
    <s v="200-AO-2365-2022"/>
    <d v="2022-09-15T00:00:00"/>
    <n v="177405200"/>
    <s v="VIVENTIC SAS"/>
    <n v="202208541"/>
    <n v="83300"/>
    <s v="CALI"/>
    <s v="LOCAL"/>
    <m/>
    <m/>
    <m/>
    <m/>
    <m/>
    <m/>
    <n v="4.693261816962789E-4"/>
    <n v="0"/>
    <n v="1"/>
  </r>
  <r>
    <n v="524"/>
    <s v="0568"/>
    <s v="GTI"/>
    <d v="2022-09-09T00:00:00"/>
    <x v="9"/>
    <s v="GTI0189"/>
    <s v="FR-200-GTI-0109-2022"/>
    <s v="N/A"/>
    <s v="Actualización del licenciamiento del software ArcGIS sobre el cual, opera el sistema de información Geográfica de la UENAA"/>
    <n v="260464881"/>
    <m/>
    <s v="900-IP-0568-2022"/>
    <s v="IP-"/>
    <n v="202203588"/>
    <m/>
    <s v="N/A"/>
    <s v="N/A"/>
    <s v="N/A"/>
    <x v="2"/>
    <s v="CAMILO NUÑEZ"/>
    <d v="2022-09-12T00:00:00"/>
    <e v="#VALUE!"/>
    <e v="#VALUE!"/>
    <m/>
    <s v="Devuelto"/>
    <x v="2"/>
    <d v="2022-12-06T00:00:00"/>
    <s v="28 DE SEPTIEMBRE EN ELABORACIONDE FPA E INVITACION_x000a_10-11-2022, COTIZACIONES_x000a_24-11-2022,  PROCESO QUE PRESENTA DEMORA DEBIDO A QUE DESDE EL DIA 04 DE NOVIEMBRE SE SOLICITO CDP AJUSTADO A SAP(AL AREA), AL NO TENER RESPUESTA POR PARTE DEL AREA, BAJE DIRECTAMENTE AL AREA DE PRESUPUESTO A QUE ME EMITIERAN NUEVO CDP._x000a_30-11-2022, EL PROCESO SE VA A DEVOLVER PORQUE ES UN SAM"/>
    <d v="2022-11-30T00:00:00"/>
    <m/>
    <s v="nov"/>
    <n v="82"/>
    <n v="79"/>
    <s v="C"/>
    <s v="FUNCIONAMIENTO_x000a_INVERSION"/>
    <m/>
    <m/>
    <m/>
    <m/>
    <m/>
    <m/>
    <m/>
    <m/>
    <m/>
    <m/>
    <m/>
    <m/>
    <m/>
    <m/>
    <m/>
    <n v="0"/>
    <m/>
  </r>
  <r>
    <n v="525"/>
    <s v="0569"/>
    <s v="GUENAA"/>
    <d v="2022-09-09T00:00:00"/>
    <x v="9"/>
    <s v="GAA0793"/>
    <s v="FR-300-GAA-0246-2022"/>
    <s v="300-CMA-1974-2020"/>
    <s v="Suministro de elementos de ferreteria"/>
    <n v="286263769"/>
    <s v="18 DE NOVIEMBRE 2022"/>
    <s v="N/A"/>
    <m/>
    <n v="202205687"/>
    <n v="286263769"/>
    <s v="N/A"/>
    <s v="N/A"/>
    <s v="N/A"/>
    <x v="1"/>
    <s v="LUCY ARBELAEZ"/>
    <d v="2022-09-09T00:00:00"/>
    <e v="#VALUE!"/>
    <e v="#VALUE!"/>
    <s v="SI"/>
    <s v="Entregado al area"/>
    <x v="1"/>
    <m/>
    <m/>
    <d v="2022-09-21T00:00:00"/>
    <s v="Sep"/>
    <m/>
    <n v="12"/>
    <n v="12"/>
    <s v="N/A"/>
    <s v="FUNCIONAMIENTO"/>
    <s v="300-CMA-1974-2020/800-AO-2328-2022"/>
    <d v="2022-09-15T00:00:00"/>
    <n v="285565244"/>
    <s v="EQUIPOS Y HERRAMIENTAS INDUSTRIALES SAS"/>
    <n v="202208489"/>
    <n v="698525"/>
    <m/>
    <m/>
    <m/>
    <m/>
    <m/>
    <s v="CALI"/>
    <s v="LOCAL"/>
    <m/>
    <n v="2.4401446345800053E-3"/>
    <n v="1"/>
    <n v="0"/>
  </r>
  <r>
    <n v="526"/>
    <s v="0570"/>
    <s v="GUENAA"/>
    <d v="2022-09-09T00:00:00"/>
    <x v="9"/>
    <s v="GAA0746"/>
    <s v="FR-300-GAA-0245-2022"/>
    <s v="N/A"/>
    <s v="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
    <n v="64998990"/>
    <m/>
    <s v="900-IP-0570-2022"/>
    <s v="IP-"/>
    <n v="202205888"/>
    <m/>
    <m/>
    <m/>
    <s v="N/A"/>
    <x v="2"/>
    <s v="LUCY ARBELAEZ"/>
    <d v="2022-09-12T00:00:00"/>
    <e v="#VALUE!"/>
    <e v="#VALUE!"/>
    <m/>
    <s v="Cerrado"/>
    <x v="0"/>
    <d v="2022-12-27T00:00:00"/>
    <m/>
    <d v="2022-12-29T00:00:00"/>
    <m/>
    <s v="dic"/>
    <n v="111"/>
    <n v="108"/>
    <m/>
    <s v="FUNCIONAMIENTO"/>
    <m/>
    <m/>
    <m/>
    <m/>
    <m/>
    <m/>
    <m/>
    <m/>
    <m/>
    <m/>
    <m/>
    <m/>
    <m/>
    <m/>
    <m/>
    <n v="1"/>
    <m/>
  </r>
  <r>
    <n v="527"/>
    <s v="0571"/>
    <s v="GTI"/>
    <d v="2022-09-09T00:00:00"/>
    <x v="9"/>
    <s v="GTI0191"/>
    <s v="FR-200-GTI-0110-2022"/>
    <s v="N/A"/>
    <s v="Actualizaciónpor un (1) año de la licencia de Infowater a través de la cual opera el Modelo de Simulación Hidráulica de Acueducto en el Centro de Control Maestro de la UENNA"/>
    <n v="35000000"/>
    <m/>
    <s v="900-IP-0477-2022"/>
    <s v="IP-"/>
    <n v="202203030"/>
    <m/>
    <m/>
    <m/>
    <s v="N/A"/>
    <x v="2"/>
    <s v="LUCY ARBELAEZ"/>
    <d v="2022-09-13T00:00:00"/>
    <e v="#VALUE!"/>
    <e v="#VALUE!"/>
    <s v="NO"/>
    <s v="Devuelto"/>
    <x v="2"/>
    <d v="2022-11-17T00:00:00"/>
    <s v="Devuelto con memorando 901-0308-2022 a la Gerencia de Area Tecnologia de la Informacion por tener caracteristicas de SAM."/>
    <d v="2022-11-17T00:00:00"/>
    <m/>
    <s v="nov"/>
    <n v="69"/>
    <n v="65"/>
    <m/>
    <s v="FUNCIONAMIENTO_x000a_INVERSION"/>
    <m/>
    <m/>
    <m/>
    <m/>
    <m/>
    <m/>
    <m/>
    <m/>
    <m/>
    <m/>
    <m/>
    <m/>
    <m/>
    <m/>
    <m/>
    <n v="0"/>
    <m/>
  </r>
  <r>
    <n v="528"/>
    <s v="0572"/>
    <s v="GUENE"/>
    <d v="2022-09-13T00:00:00"/>
    <x v="9"/>
    <s v="GE0382"/>
    <s v="FR-500-GE-0211-2022"/>
    <s v="N/A"/>
    <s v="Suministro de Inversor para RACK de 125 V DC 120 V AC"/>
    <n v="58274291"/>
    <m/>
    <s v="900-IP-0572-2022"/>
    <s v="IP-"/>
    <n v="202203959"/>
    <m/>
    <s v="N/A"/>
    <s v="N/A"/>
    <s v="N/A"/>
    <x v="2"/>
    <s v="ANA MARIA GIL"/>
    <d v="2022-09-14T00:00:00"/>
    <e v="#VALUE!"/>
    <e v="#VALUE!"/>
    <m/>
    <s v="Entregado al area"/>
    <x v="1"/>
    <d v="2022-12-26T00:00:00"/>
    <s v="28 DE SEPTIEMBRE EN ELABORACIONDE FPA E INVITACION_x000a_Se pídieron nuevamente los conceptos para ingresar las garantia de seriedad de la oferta_x000a_10-11-2022, se netrega al asesor para revision y firmas_x000a_24-11-2022 PENDIENTE QUE AREA AJUSTE VALOR DE PRESUPUESTO PARA CONTRATAR"/>
    <d v="2022-12-26T00:00:00"/>
    <s v="Dec"/>
    <s v="dic"/>
    <n v="104"/>
    <n v="103"/>
    <s v="G"/>
    <s v="INVERSION"/>
    <s v="500-AO-2483-2022"/>
    <d v="2022-12-19T00:00:00"/>
    <n v="58274291"/>
    <s v="POTENCIA Y TECNOLOGIAS INCORPORADAS SA"/>
    <s v="AB-2300003079"/>
    <n v="0"/>
    <m/>
    <m/>
    <m/>
    <m/>
    <m/>
    <m/>
    <m/>
    <m/>
    <n v="0"/>
    <n v="1"/>
    <n v="1"/>
  </r>
  <r>
    <n v="529"/>
    <s v="0573"/>
    <s v="GTI"/>
    <d v="2022-09-14T00:00:00"/>
    <x v="9"/>
    <s v="GTI0201"/>
    <s v="FR-200-GTI-0121-2022"/>
    <s v="N/A"/>
    <s v="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
    <n v="483000000"/>
    <m/>
    <s v="900-IP-0573-2022"/>
    <s v="IP-"/>
    <n v="202205833"/>
    <n v="483000000"/>
    <s v="N/A"/>
    <s v="N/A"/>
    <s v="N/A"/>
    <x v="2"/>
    <s v="AYDEE OVALLE"/>
    <d v="2022-09-14T00:00:00"/>
    <e v="#VALUE!"/>
    <e v="#VALUE!"/>
    <s v="NO"/>
    <s v="Cerrado"/>
    <x v="0"/>
    <m/>
    <s v="SE CIERRA PORQUE ES INADMISIBLE LA PROPUESTA"/>
    <d v="2022-09-28T00:00:00"/>
    <m/>
    <s v="sep"/>
    <n v="14"/>
    <n v="14"/>
    <m/>
    <s v="FUNCIONAMIENTO"/>
    <m/>
    <m/>
    <m/>
    <m/>
    <m/>
    <m/>
    <m/>
    <m/>
    <m/>
    <m/>
    <m/>
    <m/>
    <m/>
    <m/>
    <m/>
    <n v="0"/>
    <m/>
  </r>
  <r>
    <n v="530"/>
    <s v="0574"/>
    <s v="GUENE"/>
    <d v="2022-09-14T00:00:00"/>
    <x v="9"/>
    <s v="GE0365"/>
    <s v="FR-500-GE-0246-2022"/>
    <s v="N/A"/>
    <s v="Suministro de radios digital"/>
    <n v="12959100"/>
    <m/>
    <s v="900-IP-0574-2022"/>
    <s v="IP-"/>
    <n v="202202155"/>
    <n v="12959100"/>
    <s v="N/A"/>
    <s v="N/A"/>
    <s v="N/A"/>
    <x v="2"/>
    <s v="JULIO ERAZO"/>
    <d v="2022-09-14T00:00:00"/>
    <e v="#VALUE!"/>
    <e v="#VALUE!"/>
    <m/>
    <s v="Cerrado"/>
    <x v="0"/>
    <d v="2022-12-07T00:00:00"/>
    <s v="ESTE PROCESO ES POSIBLE QUE SE CIERRE PORQUE NO SE RECIBE LA OFERTA DEL PROVEEDOR INVITADO _x000a_07-12-2022, proceso cerrado mediante acta "/>
    <d v="2022-12-07T00:00:00"/>
    <m/>
    <s v="dic"/>
    <n v="84"/>
    <n v="84"/>
    <m/>
    <s v="FUNCIONAMIENTO"/>
    <m/>
    <m/>
    <m/>
    <m/>
    <m/>
    <m/>
    <m/>
    <m/>
    <m/>
    <m/>
    <m/>
    <m/>
    <m/>
    <m/>
    <m/>
    <n v="1"/>
    <m/>
  </r>
  <r>
    <n v="531"/>
    <s v="0575"/>
    <s v="GUENAA"/>
    <d v="2022-09-14T00:00:00"/>
    <x v="9"/>
    <s v="GAA0129"/>
    <s v="FR-300-GAA-0247-2022"/>
    <s v="N/A"/>
    <s v="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
    <n v="3000000"/>
    <m/>
    <s v="900-IP-0575-2022"/>
    <s v="IP-"/>
    <n v="202203057"/>
    <m/>
    <m/>
    <m/>
    <m/>
    <x v="2"/>
    <s v="MARIA CAMILA OLIVEROS"/>
    <d v="2022-09-14T00:00:00"/>
    <e v="#VALUE!"/>
    <e v="#VALUE!"/>
    <m/>
    <s v="Cerrado"/>
    <x v="0"/>
    <d v="2022-12-30T00:00:00"/>
    <s v="28 DE SEPTIEMBRE ESPERANDO REGISTRO DE PROVEEDORES_x000a_12-11-2022,  En espera de cotización, la cotización que envía el áera con el proveedor DIGITOP, aún no ha hecho el registro de proveedor"/>
    <d v="2022-12-30T00:00:00"/>
    <m/>
    <s v="dic"/>
    <n v="107"/>
    <n v="107"/>
    <m/>
    <s v="FUNCIONAMIENTO"/>
    <m/>
    <m/>
    <m/>
    <m/>
    <m/>
    <m/>
    <m/>
    <m/>
    <m/>
    <m/>
    <m/>
    <m/>
    <m/>
    <m/>
    <m/>
    <n v="1"/>
    <m/>
  </r>
  <r>
    <n v="532"/>
    <s v="0576"/>
    <s v="GTI"/>
    <d v="2022-09-14T00:00:00"/>
    <x v="9"/>
    <s v="GTI0198"/>
    <s v="FR-200-GTI-0118-2022"/>
    <s v="N/A"/>
    <s v="Servicio en Nube de escritorios remotos mensualizado para equipos de computo, que fortalezcan el desarrollo de las actividades de PQRS Y CALL CENTER solicitada por la Gerencia de Comerciales"/>
    <n v="174350001"/>
    <s v="3 MESES"/>
    <s v="900-IP-0533-2021"/>
    <m/>
    <n v="202205709"/>
    <n v="174350001"/>
    <s v="N/A"/>
    <s v="N/A"/>
    <m/>
    <x v="2"/>
    <s v="AYDEE OVALLE"/>
    <d v="2022-09-14T00:00:00"/>
    <e v="#VALUE!"/>
    <e v="#VALUE!"/>
    <s v="SI"/>
    <s v="Entregado al area"/>
    <x v="1"/>
    <m/>
    <m/>
    <d v="2022-09-23T00:00:00"/>
    <s v="Sep"/>
    <m/>
    <n v="9"/>
    <n v="9"/>
    <s v="C"/>
    <s v="FUNCIONAMIENTO"/>
    <s v="200-AO-2375-2022"/>
    <d v="2022-09-15T00:00:00"/>
    <n v="174348380"/>
    <s v="SOLUCIONES DE TECNOLOGIA E INGENIERIA SAS"/>
    <n v="202208525"/>
    <n v="1621"/>
    <m/>
    <m/>
    <m/>
    <m/>
    <m/>
    <s v="BOGOTA"/>
    <s v="NACIONAL"/>
    <m/>
    <n v="9.2973902535280177E-6"/>
    <n v="0"/>
    <n v="1"/>
  </r>
  <r>
    <n v="533"/>
    <s v="0577"/>
    <s v="GAGHA"/>
    <d v="2022-09-14T00:00:00"/>
    <x v="9"/>
    <s v="GHA0249"/>
    <s v="FR-800-GHA-0198-2022"/>
    <s v="800-CMA-1916-2021"/>
    <s v="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
    <n v="1076738029"/>
    <s v="31 DE DICIEMBRE 2022"/>
    <s v="N/A"/>
    <m/>
    <n v="202204128"/>
    <m/>
    <s v="N/A"/>
    <s v="N/A"/>
    <m/>
    <x v="1"/>
    <s v="FRANCIA RAMÍREZ"/>
    <d v="2022-09-14T00:00:00"/>
    <e v="#VALUE!"/>
    <e v="#VALUE!"/>
    <s v="SI"/>
    <s v="Entregado al area"/>
    <x v="1"/>
    <m/>
    <m/>
    <d v="2022-09-28T00:00:00"/>
    <s v="Sep"/>
    <m/>
    <n v="14"/>
    <n v="14"/>
    <s v="N/A"/>
    <s v="FUNCIONAMIENTO"/>
    <s v="CMA-1916-2021-800-AO-2333-2022"/>
    <d v="2022-09-15T00:00:00"/>
    <n v="1022901163"/>
    <s v="CONSORCIO IGS 2021"/>
    <n v="202208585"/>
    <n v="53836866"/>
    <m/>
    <m/>
    <m/>
    <m/>
    <m/>
    <s v="CALI"/>
    <s v="LOCAL"/>
    <m/>
    <n v="4.9999967076485602E-2"/>
    <n v="0"/>
    <n v="0"/>
  </r>
  <r>
    <n v="534"/>
    <s v="0578"/>
    <s v="GAGHA"/>
    <d v="2022-09-14T00:00:00"/>
    <x v="9"/>
    <s v="GHA0068"/>
    <s v="FR-800-GHA-0156-2022"/>
    <s v="N/A"/>
    <s v="Realizar la compra de café y azúcar, como elementos de cafeteria necesarios para EMCALI EICE ESP"/>
    <n v="118488510"/>
    <s v="28 DE NOVIEBRE 2022"/>
    <s v="900-IP-0578-2022"/>
    <m/>
    <s v="202204454_x000a_202203557_x000a_202203531_x000a_202203532_x000a_202203533"/>
    <n v="118488510"/>
    <s v="N/A"/>
    <s v="N/A"/>
    <s v="N/A"/>
    <x v="2"/>
    <s v="ANA MARIA GIL"/>
    <d v="2022-09-14T00:00:00"/>
    <n v="55"/>
    <n v="55"/>
    <s v="SI"/>
    <s v="Entregado al area"/>
    <x v="1"/>
    <s v="27 DE SEPTIEMBRE EN EXPEDICION DE POLIZAS"/>
    <m/>
    <d v="2022-10-03T00:00:00"/>
    <s v="Oct"/>
    <n v="19"/>
    <m/>
    <n v="19"/>
    <s v="G"/>
    <s v="FUNCIONAMIENTO"/>
    <s v="800-AO-2371-2022"/>
    <d v="2022-09-15T00:00:00"/>
    <n v="118488510"/>
    <s v="MASUNION SAS"/>
    <n v="202208527"/>
    <n v="0"/>
    <s v="CALI"/>
    <s v="LOCAL"/>
    <m/>
    <m/>
    <m/>
    <m/>
    <m/>
    <m/>
    <n v="0"/>
    <n v="0"/>
    <n v="1"/>
  </r>
  <r>
    <n v="535"/>
    <s v="0579"/>
    <s v="GUENE"/>
    <d v="2022-09-15T00:00:00"/>
    <x v="9"/>
    <s v="PENDIENTE"/>
    <s v="FR-500-GE-0231-2022"/>
    <s v="N/A"/>
    <s v="Suministro Transformadores de Corriente"/>
    <n v="449226785"/>
    <s v="60 DIAS"/>
    <s v="900-IP-0579-2022"/>
    <m/>
    <n v="202205366"/>
    <n v="449226785"/>
    <s v="N/A"/>
    <s v="N/A"/>
    <m/>
    <x v="2"/>
    <s v="LINA ECHAVARRIA"/>
    <d v="2022-09-15T00:00:00"/>
    <e v="#VALUE!"/>
    <e v="#VALUE!"/>
    <s v="SI"/>
    <s v="Entregado al area"/>
    <x v="1"/>
    <m/>
    <m/>
    <d v="2022-09-23T00:00:00"/>
    <s v="Sep"/>
    <m/>
    <n v="8"/>
    <n v="8"/>
    <s v="G"/>
    <s v="INVERSION"/>
    <s v="500-AO-2366-2022"/>
    <d v="2022-09-15T00:00:00"/>
    <n v="163548143"/>
    <s v="INPEL SA"/>
    <n v="202208551"/>
    <n v="285678642"/>
    <m/>
    <m/>
    <m/>
    <m/>
    <m/>
    <s v="CALI"/>
    <s v="LOCAL"/>
    <m/>
    <n v="0.63593412400821114"/>
    <n v="1"/>
    <n v="1"/>
  </r>
  <r>
    <n v="536"/>
    <s v="0580"/>
    <s v="GTI"/>
    <d v="2022-09-15T00:00:00"/>
    <x v="9"/>
    <s v="GTI0202"/>
    <s v="FR-200-GTI-0120-2022"/>
    <s v="N/A"/>
    <s v="Adquisición de Librería IBM TS4300 con 6 drives LT07 8 ( con posibilidad de conectar 2 LTO más)"/>
    <n v="391316625"/>
    <s v="30 DIAS"/>
    <s v="900-IP-0580-2022"/>
    <m/>
    <n v="202205681"/>
    <m/>
    <s v="N/A"/>
    <s v="N/A"/>
    <m/>
    <x v="2"/>
    <s v="AYDEE OVALLE"/>
    <d v="2022-09-15T00:00:00"/>
    <e v="#VALUE!"/>
    <e v="#VALUE!"/>
    <s v="SI"/>
    <s v="Entregado al area"/>
    <x v="1"/>
    <m/>
    <m/>
    <d v="2022-09-21T00:00:00"/>
    <s v="Sep"/>
    <m/>
    <n v="6"/>
    <n v="6"/>
    <s v="G"/>
    <s v="FUNCIONAMIENTO"/>
    <s v="200-AO-2376-2022"/>
    <d v="2022-09-15T00:00:00"/>
    <n v="391316625"/>
    <s v="INTEGRA TIC TECNOLOGIAS DE OPTIMIZACION SAS"/>
    <m/>
    <n v="0"/>
    <m/>
    <m/>
    <m/>
    <m/>
    <m/>
    <m/>
    <m/>
    <m/>
    <n v="0"/>
    <n v="0"/>
    <n v="1"/>
  </r>
  <r>
    <n v="537"/>
    <s v="0582"/>
    <s v="GUENTIC"/>
    <d v="2022-09-16T00:00:00"/>
    <x v="9"/>
    <s v="GT0245"/>
    <s v="FR-400-GT-0203-2022"/>
    <s v="N/A"/>
    <s v="Suministro de conectores modulares para realizar empalme de conductores de cobre en cables multípares de uso en la red de planta externa requeridos para el mantenimiento de las redes de acceso de la GUENTIC"/>
    <n v="115099000"/>
    <m/>
    <m/>
    <s v=""/>
    <n v="202203611"/>
    <m/>
    <m/>
    <m/>
    <m/>
    <x v="3"/>
    <s v="SIN ASIGNAR"/>
    <m/>
    <e v="#VALUE!"/>
    <e v="#VALUE!"/>
    <s v="NO"/>
    <s v="Devuelto"/>
    <x v="2"/>
    <m/>
    <s v="se devuelve por suspension de procesos por parte de  la gerencia general"/>
    <d v="2022-09-16T00:00:00"/>
    <m/>
    <s v="sep"/>
    <n v="0"/>
    <n v="44820"/>
    <m/>
    <s v="FUNCIONAMIENTO"/>
    <m/>
    <m/>
    <m/>
    <m/>
    <m/>
    <m/>
    <m/>
    <m/>
    <m/>
    <m/>
    <m/>
    <m/>
    <m/>
    <m/>
    <m/>
    <n v="0"/>
    <m/>
  </r>
  <r>
    <n v="538"/>
    <s v="0583"/>
    <s v="GUENE"/>
    <d v="2022-09-19T00:00:00"/>
    <x v="9"/>
    <s v="GE0184"/>
    <s v="FR-500-GE-0187-2022"/>
    <s v="N/A"/>
    <s v="Mantenimiento de Plantas de Emergencia de las subestaciones de Energia"/>
    <n v="106255100"/>
    <m/>
    <m/>
    <s v=""/>
    <n v="202205421"/>
    <m/>
    <m/>
    <m/>
    <m/>
    <x v="3"/>
    <s v="SIN ASIGNAR"/>
    <m/>
    <e v="#VALUE!"/>
    <e v="#VALUE!"/>
    <s v="NO"/>
    <s v="Devuelto"/>
    <x v="2"/>
    <m/>
    <s v="se devuelve por suspension de procesos por parte de  la gerencia general"/>
    <d v="2022-09-16T00:00:00"/>
    <m/>
    <s v="sep"/>
    <n v="-3"/>
    <n v="44820"/>
    <m/>
    <s v="FUNCIONAMIENTO"/>
    <m/>
    <m/>
    <m/>
    <m/>
    <m/>
    <m/>
    <m/>
    <m/>
    <m/>
    <m/>
    <m/>
    <m/>
    <m/>
    <m/>
    <m/>
    <n v="1"/>
    <m/>
  </r>
  <r>
    <n v="539"/>
    <s v="0584"/>
    <s v="GUENE"/>
    <d v="2022-09-19T00:00:00"/>
    <x v="9"/>
    <s v="GE0190"/>
    <s v="FR-500-GE-0228-2022"/>
    <s v="N/A"/>
    <s v="Mantenimiento de Gatos Hidraulico marca ENERPAC para 50 toneladas"/>
    <n v="35283500"/>
    <m/>
    <m/>
    <s v=""/>
    <n v="202205966"/>
    <m/>
    <m/>
    <m/>
    <m/>
    <x v="3"/>
    <s v="SIN ASIGNAR"/>
    <m/>
    <e v="#VALUE!"/>
    <e v="#VALUE!"/>
    <s v="NO"/>
    <s v="Devuelto"/>
    <x v="2"/>
    <m/>
    <s v="se devuelve por suspension de procesos por parte de  la gerencia general"/>
    <d v="2022-09-16T00:00:00"/>
    <m/>
    <s v="sep"/>
    <n v="-3"/>
    <n v="44820"/>
    <m/>
    <s v="FUNCIONAMIENTO"/>
    <m/>
    <m/>
    <m/>
    <m/>
    <m/>
    <m/>
    <m/>
    <m/>
    <m/>
    <m/>
    <m/>
    <m/>
    <m/>
    <m/>
    <m/>
    <n v="1"/>
    <m/>
  </r>
  <r>
    <n v="540"/>
    <s v="0585"/>
    <s v="GUENE"/>
    <d v="2022-09-19T00:00:00"/>
    <x v="9"/>
    <s v="GE0385"/>
    <s v="FR-500-GE-0260-2022"/>
    <s v="N/A"/>
    <s v="Mantenimiento de Trailers Móviles"/>
    <n v="35700000"/>
    <m/>
    <m/>
    <s v=""/>
    <n v="202205967"/>
    <m/>
    <m/>
    <m/>
    <m/>
    <x v="3"/>
    <s v="SIN ASIGNAR"/>
    <m/>
    <e v="#VALUE!"/>
    <e v="#VALUE!"/>
    <s v="NO"/>
    <s v="Devuelto"/>
    <x v="2"/>
    <m/>
    <m/>
    <d v="2022-09-16T00:00:00"/>
    <m/>
    <s v="sep"/>
    <n v="-3"/>
    <n v="44820"/>
    <m/>
    <s v="FUNCIONAMIENTO"/>
    <m/>
    <m/>
    <m/>
    <m/>
    <m/>
    <m/>
    <m/>
    <m/>
    <m/>
    <m/>
    <m/>
    <m/>
    <m/>
    <m/>
    <m/>
    <n v="1"/>
    <m/>
  </r>
  <r>
    <n v="541"/>
    <s v="0586"/>
    <s v="GUENE"/>
    <d v="2022-09-20T00:00:00"/>
    <x v="9"/>
    <s v="GE0390"/>
    <s v="FR-500-GE-0232-2022"/>
    <s v="N/A"/>
    <s v="Suministro de Conectores de Perforación"/>
    <n v="161640675"/>
    <m/>
    <s v="900-IP-0586-2022"/>
    <s v="IP-"/>
    <n v="202205359"/>
    <m/>
    <s v="N/A"/>
    <s v="N/A"/>
    <s v="N/A"/>
    <x v="2"/>
    <s v="JULIO ERAZO"/>
    <d v="2022-09-20T00:00:00"/>
    <e v="#VALUE!"/>
    <e v="#VALUE!"/>
    <m/>
    <s v="Cerrado"/>
    <x v="0"/>
    <d v="2022-12-27T00:00:00"/>
    <s v="29 de septiembre en espera de la derivad del pacc_x000a_10-11-2022, se paso para revision de asesor GAEP_x000a_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_x000a_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
    <d v="2022-12-27T00:00:00"/>
    <m/>
    <s v="dic"/>
    <n v="98"/>
    <n v="98"/>
    <m/>
    <s v="INVERSION"/>
    <m/>
    <m/>
    <m/>
    <m/>
    <m/>
    <m/>
    <m/>
    <m/>
    <m/>
    <m/>
    <m/>
    <m/>
    <m/>
    <m/>
    <m/>
    <n v="1"/>
    <m/>
  </r>
  <r>
    <n v="542"/>
    <s v="0587"/>
    <s v="GUENAA"/>
    <d v="2022-09-20T00:00:00"/>
    <x v="9"/>
    <s v="GAA0803"/>
    <s v="FR-300-GAA-0251-2022"/>
    <s v="N/A"/>
    <s v="Realizar la reparación, mantenimiento y puesta en funcionamiento de equipos y componentes críticos en Estaciones de Bombeo de Aguas Lluvias y Residuales para mitigar riesgos en el servicio de bombeo asociados a la variabilidad climática"/>
    <n v="500000000"/>
    <m/>
    <s v="900-IP-0587-2022"/>
    <s v="IP-"/>
    <n v="202205979"/>
    <m/>
    <m/>
    <m/>
    <m/>
    <x v="2"/>
    <s v="JHON LARRY CAICEDO"/>
    <d v="2022-11-03T00:00:00"/>
    <e v="#VALUE!"/>
    <e v="#VALUE!"/>
    <s v="NO"/>
    <s v="Revision Asesor GAE"/>
    <x v="2"/>
    <d v="2022-11-24T00:00:00"/>
    <s v="se devuelve por suspension de procesos por parte de  la gerencia general"/>
    <d v="2022-12-13T00:00:00"/>
    <m/>
    <s v="dic"/>
    <n v="84"/>
    <n v="40"/>
    <m/>
    <s v="FUNCIONAMIENTO"/>
    <m/>
    <m/>
    <m/>
    <m/>
    <m/>
    <m/>
    <m/>
    <m/>
    <m/>
    <m/>
    <m/>
    <m/>
    <m/>
    <m/>
    <m/>
    <n v="1"/>
    <m/>
  </r>
  <r>
    <n v="543"/>
    <s v="0588"/>
    <s v="GUENTIC"/>
    <d v="2022-09-20T00:00:00"/>
    <x v="9"/>
    <s v="GT0235"/>
    <s v="FR-400-GT-0187-2022"/>
    <s v="N/A"/>
    <s v="Compra de equipos terminales (Access Point) para permitir la conectividad de internet a instituciones educativas y demás clientes corporativos que requieran puntos de acceso"/>
    <n v="478845428"/>
    <m/>
    <m/>
    <s v=""/>
    <n v="202204472"/>
    <m/>
    <m/>
    <m/>
    <m/>
    <x v="3"/>
    <s v="JULIO GARCIA"/>
    <d v="2022-11-09T00:00:00"/>
    <e v="#VALUE!"/>
    <e v="#VALUE!"/>
    <s v="NO"/>
    <s v="Devuelto"/>
    <x v="2"/>
    <m/>
    <s v="se devuelve por suspension de procesos por parte de  la gerencia general"/>
    <d v="2022-12-26T00:00:00"/>
    <m/>
    <s v="dic"/>
    <n v="97"/>
    <n v="47"/>
    <m/>
    <s v="INVERSION"/>
    <m/>
    <m/>
    <m/>
    <m/>
    <m/>
    <m/>
    <m/>
    <m/>
    <m/>
    <m/>
    <m/>
    <m/>
    <m/>
    <m/>
    <m/>
    <n v="0"/>
    <m/>
  </r>
  <r>
    <n v="544"/>
    <s v="0589"/>
    <s v="GUENTIC"/>
    <d v="2022-09-20T00:00:00"/>
    <x v="9"/>
    <s v="GT0251"/>
    <s v="FR-400-GT-0208-2022"/>
    <s v="N/A"/>
    <s v="Suministro de Terminales Ópticos ONT para la instalación de servicios en los clientes a través de la expansión de proyectos de FTTH (fibra hasta la casa) de EMCALI"/>
    <n v="3028654720"/>
    <m/>
    <m/>
    <s v=""/>
    <s v="202203853_x000a_202205919"/>
    <m/>
    <m/>
    <m/>
    <m/>
    <x v="3"/>
    <s v="SIN ASIGNAR"/>
    <m/>
    <e v="#VALUE!"/>
    <e v="#VALUE!"/>
    <s v="NO"/>
    <s v="Devuelto"/>
    <x v="2"/>
    <m/>
    <s v="se devuelve por suspension de procesos por parte de  la gerencia general"/>
    <d v="2022-09-20T00:00:00"/>
    <m/>
    <s v="sep"/>
    <n v="0"/>
    <n v="44824"/>
    <m/>
    <s v="INVERSION"/>
    <m/>
    <m/>
    <m/>
    <m/>
    <m/>
    <m/>
    <m/>
    <m/>
    <m/>
    <m/>
    <m/>
    <m/>
    <m/>
    <m/>
    <m/>
    <n v="0"/>
    <m/>
  </r>
  <r>
    <n v="545"/>
    <s v="0590"/>
    <s v="GTI"/>
    <d v="2022-09-21T00:00:00"/>
    <x v="9"/>
    <s v="GTI0199"/>
    <s v="FR-200-GTI-0117-2022"/>
    <s v="N/A"/>
    <s v="Adquisición de Diademas Binaurales para el Contact Center de la Gerencia Comercial"/>
    <n v="44292962"/>
    <m/>
    <m/>
    <s v=""/>
    <n v="202205661"/>
    <m/>
    <m/>
    <m/>
    <m/>
    <x v="3"/>
    <s v="SIN ASIGNAR"/>
    <m/>
    <e v="#VALUE!"/>
    <e v="#VALUE!"/>
    <s v="NO"/>
    <s v="Devuelto"/>
    <x v="2"/>
    <m/>
    <s v="se devuelve por suspension de procesos por parte de  la gerencia general"/>
    <d v="2022-09-20T00:00:00"/>
    <m/>
    <s v="sep"/>
    <n v="-1"/>
    <n v="44824"/>
    <m/>
    <s v="PENDIENTE"/>
    <m/>
    <m/>
    <m/>
    <m/>
    <m/>
    <m/>
    <m/>
    <m/>
    <m/>
    <m/>
    <m/>
    <m/>
    <m/>
    <m/>
    <m/>
    <n v="0"/>
    <m/>
  </r>
  <r>
    <n v="546"/>
    <s v="0591"/>
    <s v="GUENE"/>
    <d v="2022-09-23T00:00:00"/>
    <x v="9"/>
    <s v="GE0358"/>
    <s v="FR-500-GE-0225-2022"/>
    <s v="N/A"/>
    <s v="Prestar servicios de transporte especial terrestre en zona urbana y rural de Santiago de Cali"/>
    <n v="160000000"/>
    <m/>
    <m/>
    <s v=""/>
    <n v="202204462"/>
    <m/>
    <m/>
    <m/>
    <m/>
    <x v="3"/>
    <s v="SIN ASIGNAR"/>
    <m/>
    <e v="#VALUE!"/>
    <e v="#VALUE!"/>
    <s v="NO"/>
    <s v="Devuelto"/>
    <x v="2"/>
    <m/>
    <s v="se devuelve por suspension de procesos por parte de  la gerencia general"/>
    <d v="2022-09-20T00:00:00"/>
    <m/>
    <s v="sep"/>
    <n v="-3"/>
    <n v="44824"/>
    <m/>
    <s v="FUNCIONAMIENTO"/>
    <m/>
    <m/>
    <m/>
    <m/>
    <m/>
    <m/>
    <m/>
    <m/>
    <m/>
    <m/>
    <m/>
    <m/>
    <m/>
    <m/>
    <m/>
    <n v="1"/>
    <m/>
  </r>
  <r>
    <n v="547"/>
    <s v="0592"/>
    <s v="GUENTIC"/>
    <d v="2022-09-24T00:00:00"/>
    <x v="9"/>
    <s v="GT0138_x000a_GT0201_x000a_GT0200_x000a_GT0143"/>
    <s v="FR-400-GT-0156-2022"/>
    <s v="N/A"/>
    <s v="Dotación de componentes especializados para el mantenimiento de redes de acceso en fibra óptica, para el personal de la GUENTIC"/>
    <n v="346526416"/>
    <m/>
    <s v="900-IP-0592-2022"/>
    <s v="IP-"/>
    <s v="202202913_x000a_202202886_x000a_202202885"/>
    <m/>
    <m/>
    <m/>
    <m/>
    <x v="2"/>
    <s v="SIN ASIGNAR"/>
    <m/>
    <e v="#VALUE!"/>
    <e v="#VALUE!"/>
    <s v="NO"/>
    <s v="Devuelto"/>
    <x v="2"/>
    <m/>
    <s v="se devuelve por suspension de procesos por parte de  la gerencia general"/>
    <d v="2022-09-20T00:00:00"/>
    <m/>
    <s v="sep"/>
    <n v="-4"/>
    <n v="44824"/>
    <m/>
    <s v="FUNCIONAMIENTO"/>
    <m/>
    <m/>
    <m/>
    <m/>
    <m/>
    <m/>
    <m/>
    <m/>
    <m/>
    <m/>
    <m/>
    <m/>
    <m/>
    <m/>
    <m/>
    <n v="0"/>
    <m/>
  </r>
  <r>
    <n v="548"/>
    <s v="0593"/>
    <s v="GUENTIC"/>
    <d v="2022-09-25T00:00:00"/>
    <x v="9"/>
    <s v="GT0143"/>
    <s v="FR-400-GT-0194-2022"/>
    <s v="N/A"/>
    <s v="Suministro de Repuestos e insumos para equipos de climatización de Telecomunicaciones de EMCALI"/>
    <n v="146064884"/>
    <m/>
    <m/>
    <s v=""/>
    <n v="202202989"/>
    <m/>
    <m/>
    <m/>
    <m/>
    <x v="3"/>
    <s v="SIN ASIGNAR"/>
    <m/>
    <e v="#VALUE!"/>
    <e v="#VALUE!"/>
    <s v="NO"/>
    <s v="Devuelto"/>
    <x v="2"/>
    <m/>
    <s v="se devuelve por suspension de procesos por parte de  la gerencia general"/>
    <d v="2022-09-20T00:00:00"/>
    <m/>
    <s v="sep"/>
    <n v="-5"/>
    <n v="44824"/>
    <m/>
    <s v="FUNCIONAMIENTO"/>
    <m/>
    <m/>
    <m/>
    <m/>
    <m/>
    <m/>
    <m/>
    <m/>
    <m/>
    <m/>
    <m/>
    <m/>
    <m/>
    <m/>
    <m/>
    <n v="0"/>
    <m/>
  </r>
  <r>
    <n v="549"/>
    <s v="0594"/>
    <s v="GTI"/>
    <d v="2022-09-26T00:00:00"/>
    <x v="9"/>
    <s v="GTI0203"/>
    <s v="FR-200-GTI-0134-2022"/>
    <s v="N/A"/>
    <s v="Mantenimiento correctivo de discos de almacenamiento para el array de discos ubicado en el data center del Centro de Control Maestro UENAA, en el cual se almacena la Geodatabase (base de datos) del Sistema de Información Geográfica (SIG)"/>
    <n v="3639020"/>
    <m/>
    <s v="900-IP-0594-2022"/>
    <s v="IP-"/>
    <n v="202205909"/>
    <m/>
    <m/>
    <m/>
    <m/>
    <x v="2"/>
    <s v="JULIO ERAZO"/>
    <d v="2022-11-08T00:00:00"/>
    <n v="119"/>
    <n v="76"/>
    <m/>
    <s v="Entregado al area"/>
    <x v="1"/>
    <d v="2022-12-23T00:00:00"/>
    <s v="REVISION FPA E INVITACION POR PARTE ASESOR GAE"/>
    <d v="2022-12-23T00:00:00"/>
    <s v="Dec"/>
    <s v="Dec"/>
    <n v="88"/>
    <n v="45"/>
    <s v="G"/>
    <s v="INVERSION"/>
    <s v="200-AO-2477-2022"/>
    <d v="2022-12-16T00:00:00"/>
    <n v="3639020"/>
    <s v="DC TECHNOLOGY SERVICES S.A.S "/>
    <s v="AB-2300003054"/>
    <n v="0"/>
    <m/>
    <m/>
    <m/>
    <m/>
    <m/>
    <m/>
    <m/>
    <m/>
    <n v="0"/>
    <n v="0"/>
    <n v="1"/>
  </r>
  <r>
    <n v="550"/>
    <s v="0595"/>
    <s v="GUENAA"/>
    <d v="2022-09-27T00:00:00"/>
    <x v="9"/>
    <s v="GAA0804"/>
    <s v="FR-300-GAA-0254-2022"/>
    <s v="300-CMA-1974-2020"/>
    <s v="Suministro de herramientas especializadas para la Unidad de Mantenimiento"/>
    <n v="289287619"/>
    <m/>
    <s v="N/A"/>
    <s v=""/>
    <s v="202205992_x000a_202205993"/>
    <m/>
    <m/>
    <m/>
    <m/>
    <x v="1"/>
    <s v="LUCY ARBELAEZ"/>
    <m/>
    <n v="118"/>
    <n v="44949"/>
    <m/>
    <s v="Entregado al area"/>
    <x v="1"/>
    <d v="2022-11-30T00:00:00"/>
    <s v="Se pasa para revision de invitacion a asesora GAE 15-11-2022"/>
    <d v="2022-12-29T00:00:00"/>
    <s v="Dec"/>
    <s v="Dec"/>
    <n v="93"/>
    <n v="44924"/>
    <s v="N/A"/>
    <s v="INVERSION"/>
    <s v="CMA-1974-2020-300-AO-2473-2022"/>
    <d v="2022-12-16T00:00:00"/>
    <n v="289077539"/>
    <s v="EQUIPOS Y HERRAMIENTAS INDUSTRIALES SAS."/>
    <m/>
    <n v="210080"/>
    <m/>
    <m/>
    <m/>
    <m/>
    <m/>
    <m/>
    <m/>
    <m/>
    <n v="7.2619768770678013E-4"/>
    <n v="1"/>
    <n v="0"/>
  </r>
  <r>
    <n v="551"/>
    <s v="0596"/>
    <s v="GUENAA"/>
    <d v="2022-10-14T00:00:00"/>
    <x v="10"/>
    <s v="GAA0217"/>
    <s v="FR-300-GAA-0255-2022"/>
    <s v="300-CMA-1243-2020"/>
    <s v="Realizar el Suministro de Hidroxido de Sodio para ser utilizado en el Tratamiento de Agua Potable para Consumo Humano"/>
    <n v="363534885"/>
    <m/>
    <s v="N/A"/>
    <s v=""/>
    <n v="202202688"/>
    <m/>
    <m/>
    <m/>
    <m/>
    <x v="3"/>
    <s v="LUCY ARBELAEZ"/>
    <d v="2022-10-18T00:00:00"/>
    <e v="#VALUE!"/>
    <e v="#VALUE!"/>
    <s v="NO"/>
    <s v="Devuelto"/>
    <x v="2"/>
    <d v="2022-11-17T00:00:00"/>
    <s v="Devuelto con memorando 900-0458-2022 a la Gerencia de Eneergia por que el unico proveedor que presento cotización   no cuenta con el personal disponible e idóneo según el alcance requerido en el proceso,  hasta antes de mediados de enero de 2023"/>
    <d v="2022-11-17T00:00:00"/>
    <m/>
    <s v="nov"/>
    <n v="34"/>
    <n v="30"/>
    <m/>
    <s v="PENDIENTE"/>
    <m/>
    <m/>
    <m/>
    <m/>
    <m/>
    <m/>
    <m/>
    <m/>
    <m/>
    <m/>
    <m/>
    <m/>
    <m/>
    <m/>
    <m/>
    <n v="1"/>
    <m/>
  </r>
  <r>
    <n v="552"/>
    <s v="0597"/>
    <s v="GTI"/>
    <d v="2022-10-24T00:00:00"/>
    <x v="10"/>
    <s v="GTI0201"/>
    <s v="FR-200-GTI-0121-2022"/>
    <m/>
    <s v="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
    <n v="483000000"/>
    <m/>
    <m/>
    <s v=""/>
    <n v="202205833"/>
    <m/>
    <m/>
    <m/>
    <m/>
    <x v="3"/>
    <s v="AYDEE OVALLE"/>
    <d v="2022-10-25T00:00:00"/>
    <e v="#VALUE!"/>
    <e v="#VALUE!"/>
    <s v="NO"/>
    <s v="Devuelto"/>
    <x v="2"/>
    <d v="2022-11-10T00:00:00"/>
    <s v="SE DEVUELVE AL AREA CON MEMORANDO 901-0297-2022 DEL 1 DE NOVIEMBRE 2022, REMPLAZAR FR 200-GTI-0138-2022 "/>
    <d v="2022-11-01T00:00:00"/>
    <m/>
    <s v="nov"/>
    <n v="8"/>
    <n v="7"/>
    <m/>
    <s v="FUNCIONAMIENTO"/>
    <m/>
    <m/>
    <m/>
    <m/>
    <m/>
    <m/>
    <m/>
    <m/>
    <m/>
    <m/>
    <m/>
    <m/>
    <m/>
    <m/>
    <m/>
    <n v="0"/>
    <m/>
  </r>
  <r>
    <n v="553"/>
    <s v="0598"/>
    <s v="GUENAA"/>
    <d v="2022-10-27T00:00:00"/>
    <x v="10"/>
    <s v="GAA0812"/>
    <s v="FR-300-GAA-0257-2022"/>
    <m/>
    <s v="Atención y Rehabilitación de tuberías Estalladas (Mayores o Iguales a 12&quot;) en diferentes sectores de la Ciudad de Cali"/>
    <n v="500000000"/>
    <m/>
    <s v="900-IP-0598-2022"/>
    <s v="IP-"/>
    <n v="202205991"/>
    <m/>
    <m/>
    <m/>
    <m/>
    <x v="2"/>
    <s v="PAOLA BELTRAN"/>
    <d v="2022-11-08T00:00:00"/>
    <e v="#VALUE!"/>
    <e v="#VALUE!"/>
    <m/>
    <s v="Cerrado"/>
    <x v="0"/>
    <d v="2022-12-30T00:00:00"/>
    <s v="24-11-2022, En revisión de Shara y firma de Gerente Memorando de devolución de requerimiento desde el 24/11/2022 En tramite de firmas de ACTA TERMINACION ANTICIPADA POR MUTUO ACUERDO DE LA ACEPTACION DE OFERTA No  300-AO-2312-2022_x000a_ENTRE EMCALI EICE ESP Y AYAPAC CONSTRUCCIONES SAS dentro del proceso 900-IP-0598-2022, debido a que por motivos expresados por el área referente al plazo de ejecución del proceso no se podria ejecutar vigencia 2022, por tanto se decide emitir acta de terminación por mutuo."/>
    <d v="2022-12-29T00:00:00"/>
    <m/>
    <s v="dic"/>
    <n v="63"/>
    <n v="51"/>
    <m/>
    <s v="INVERSION"/>
    <m/>
    <m/>
    <m/>
    <m/>
    <m/>
    <m/>
    <m/>
    <m/>
    <m/>
    <m/>
    <m/>
    <m/>
    <m/>
    <m/>
    <m/>
    <n v="1"/>
    <m/>
  </r>
  <r>
    <n v="554"/>
    <s v="0599"/>
    <s v="GUENE"/>
    <d v="2022-10-27T00:00:00"/>
    <x v="10"/>
    <s v="GE0395"/>
    <s v="FR-500-GE-0231-2022"/>
    <m/>
    <s v="Suministro Transformadores de Corriente"/>
    <n v="449226785"/>
    <m/>
    <s v="900-IP-0599-2022"/>
    <s v="IP-"/>
    <n v="202205366"/>
    <n v="449226785"/>
    <s v="N/A"/>
    <s v="N/A"/>
    <s v="N/A"/>
    <x v="2"/>
    <s v="LINA ECHAVARRIA"/>
    <d v="2022-10-27T00:00:00"/>
    <e v="#VALUE!"/>
    <e v="#VALUE!"/>
    <m/>
    <s v="Devuelto"/>
    <x v="2"/>
    <d v="2022-12-14T00:00:00"/>
    <s v="25.11.2022 Se solició al area modificaciones requeridas por el Asesor Franz, a la fecha no las han resuelto"/>
    <d v="2022-12-14T00:00:00"/>
    <m/>
    <s v="dic"/>
    <n v="48"/>
    <n v="48"/>
    <m/>
    <s v="INVERSION"/>
    <m/>
    <m/>
    <m/>
    <m/>
    <m/>
    <m/>
    <m/>
    <m/>
    <m/>
    <m/>
    <m/>
    <m/>
    <m/>
    <m/>
    <m/>
    <n v="1"/>
    <m/>
  </r>
  <r>
    <n v="555"/>
    <s v="0602"/>
    <s v="GAGHA"/>
    <d v="2022-10-28T00:00:00"/>
    <x v="10"/>
    <s v="GHA0285"/>
    <s v="FR-800-GHA-0201-2022"/>
    <s v="800-AC-2040-2021"/>
    <s v="Suministro de Divisiones Modulares, puestos de trabajo y sillas para amoblar el espacio en la Planta CALLE 13"/>
    <n v="394958715"/>
    <m/>
    <s v="N/A"/>
    <s v=""/>
    <n v="202203918"/>
    <m/>
    <m/>
    <m/>
    <m/>
    <x v="5"/>
    <s v="FRANCIA RAMÍREZ"/>
    <d v="2022-11-11T00:00:00"/>
    <n v="87"/>
    <n v="73"/>
    <m/>
    <s v="Adjudicacion"/>
    <x v="1"/>
    <d v="2022-12-12T00:00:00"/>
    <m/>
    <d v="2022-12-09T00:00:00"/>
    <s v="Dec"/>
    <s v="Dec"/>
    <n v="42"/>
    <n v="28"/>
    <s v="N/A"/>
    <s v="FUNCIONAMIENTO"/>
    <s v="AC-2040-2021_x000a_800-AO-2433-2022"/>
    <d v="2022-11-29T00:00:00"/>
    <n v="259960578"/>
    <s v="METALICAS JEP SAS "/>
    <s v="AB-2300002959"/>
    <n v="134998137"/>
    <m/>
    <m/>
    <m/>
    <m/>
    <m/>
    <m/>
    <m/>
    <m/>
    <n v="0.34180316036322933"/>
    <n v="0"/>
    <n v="0"/>
  </r>
  <r>
    <n v="556"/>
    <s v="0603"/>
    <s v="GUENE"/>
    <d v="2022-10-31T00:00:00"/>
    <x v="10"/>
    <s v="GE0233"/>
    <s v="FR-500-GE-0226-2022"/>
    <m/>
    <s v="Suministro de Elementos y Reactivos para Laboratorio"/>
    <n v="21556440"/>
    <m/>
    <s v="900-IP-0603-2022"/>
    <s v="IP-"/>
    <n v="202205431"/>
    <m/>
    <m/>
    <m/>
    <m/>
    <x v="2"/>
    <s v="LINA ECHAVARRIA"/>
    <d v="2022-11-02T00:00:00"/>
    <e v="#VALUE!"/>
    <e v="#VALUE!"/>
    <m/>
    <s v="Cerrado"/>
    <x v="0"/>
    <d v="2022-12-30T00:00:00"/>
    <s v="25.11.2022 Se solició al area modificaciones requeridas por el Asesor Franz, a la fecha no las han resuelto"/>
    <d v="2022-12-30T00:00:00"/>
    <m/>
    <s v="dic"/>
    <n v="60"/>
    <n v="58"/>
    <m/>
    <s v="FUNCIONAMIENTO"/>
    <m/>
    <m/>
    <m/>
    <m/>
    <m/>
    <m/>
    <m/>
    <m/>
    <m/>
    <m/>
    <m/>
    <m/>
    <m/>
    <m/>
    <m/>
    <n v="1"/>
    <m/>
  </r>
  <r>
    <n v="557"/>
    <s v="0604"/>
    <s v="GTI"/>
    <d v="2022-11-01T00:00:00"/>
    <x v="11"/>
    <s v="GTI0206"/>
    <s v="FR-200-GTI-0138-2022"/>
    <m/>
    <s v="Prestacion de servicio especializado para atencion de solicitudes de servicio, según las practicas o procesos operativos de la metodologia ITIL, considerando el segundo nivel especializado, y tercer nivel de soporte o fabricante para los modulos de SAP S4/Hana"/>
    <n v="467565009"/>
    <m/>
    <s v="900-IP-0604-2022"/>
    <s v="IP-"/>
    <n v="202205833"/>
    <m/>
    <m/>
    <m/>
    <m/>
    <x v="2"/>
    <s v="AYDEE OVALLE"/>
    <d v="2022-11-02T00:00:00"/>
    <n v="83"/>
    <n v="82"/>
    <m/>
    <s v="Entregado al area"/>
    <x v="1"/>
    <d v="2022-12-06T00:00:00"/>
    <m/>
    <d v="2022-12-06T00:00:00"/>
    <s v="Dec"/>
    <s v="Dec"/>
    <n v="35"/>
    <n v="34"/>
    <s v="G"/>
    <s v="FUNCIONAMIENTO"/>
    <s v="200-AO-2441-2022"/>
    <d v="2022-12-01T00:00:00"/>
    <n v="466562289"/>
    <s v="SOFTIEK RENOVATION SAS"/>
    <s v="AB2300002958"/>
    <n v="1002720"/>
    <m/>
    <m/>
    <m/>
    <m/>
    <m/>
    <m/>
    <m/>
    <m/>
    <n v="2.144557399931525E-3"/>
    <n v="0"/>
    <n v="1"/>
  </r>
  <r>
    <n v="558"/>
    <s v="0605"/>
    <s v="GTI"/>
    <d v="2022-11-01T00:00:00"/>
    <x v="11"/>
    <s v="GTI0199"/>
    <s v="FR-200-GTI-0117-2022"/>
    <m/>
    <s v="Adquisicion de diademas binaurales y monoaurales para contac center de la gerencia comercial y la gerencia de telecomunicaciones"/>
    <n v="58893695"/>
    <m/>
    <s v="900-IP-0605-2022"/>
    <s v="IP-"/>
    <m/>
    <m/>
    <m/>
    <m/>
    <m/>
    <x v="2"/>
    <s v="JUAN DAVID GOMEZ"/>
    <d v="2022-11-08T00:00:00"/>
    <n v="83"/>
    <n v="76"/>
    <m/>
    <s v="Entregado al area"/>
    <x v="1"/>
    <d v="2022-12-30T00:00:00"/>
    <m/>
    <d v="2022-12-30T00:00:00"/>
    <s v="Dec"/>
    <s v="Dec"/>
    <n v="59"/>
    <n v="52"/>
    <s v="G"/>
    <m/>
    <s v="200-AO-2516-2022"/>
    <d v="2022-12-29T00:00:00"/>
    <n v="43673000"/>
    <s v="DC TECJNOLOGY SERVICES S.A.S EN REORGANIZACION "/>
    <s v="AB-2300003111"/>
    <n v="15220695"/>
    <m/>
    <m/>
    <m/>
    <m/>
    <m/>
    <m/>
    <m/>
    <m/>
    <n v="0.25844353966922945"/>
    <n v="0"/>
    <n v="1"/>
  </r>
  <r>
    <n v="559"/>
    <s v="0606"/>
    <s v="GTI"/>
    <d v="2022-11-01T00:00:00"/>
    <x v="11"/>
    <s v="GTI0054_x000a__x000a_GTI0009"/>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606-2022"/>
    <s v="IP-"/>
    <m/>
    <m/>
    <m/>
    <m/>
    <m/>
    <x v="2"/>
    <s v="PAOLA BELTRAN"/>
    <d v="2022-11-11T00:00:00"/>
    <e v="#VALUE!"/>
    <e v="#VALUE!"/>
    <m/>
    <s v="Cerrado"/>
    <x v="0"/>
    <d v="2022-11-30T00:00:00"/>
    <s v="En revisión de Jose Julian de FPA e Invitación desde el 21 de noviembre de 2022."/>
    <d v="2022-11-30T00:00:00"/>
    <m/>
    <s v="nov"/>
    <n v="29"/>
    <n v="19"/>
    <m/>
    <m/>
    <m/>
    <m/>
    <m/>
    <m/>
    <m/>
    <m/>
    <m/>
    <m/>
    <m/>
    <m/>
    <m/>
    <m/>
    <m/>
    <m/>
    <m/>
    <n v="0"/>
    <m/>
  </r>
  <r>
    <n v="560"/>
    <s v="0607"/>
    <s v="GTI"/>
    <d v="2022-11-03T00:00:00"/>
    <x v="11"/>
    <s v="GTI0209"/>
    <s v="FR-200-GTI-0139-2022"/>
    <m/>
    <s v="Servicio en la nube (SaaS) del software Autocad (Autocad full, Autocad LT)"/>
    <n v="199662655"/>
    <m/>
    <s v="900-IP-0607-2022"/>
    <s v="IP-"/>
    <m/>
    <m/>
    <m/>
    <m/>
    <m/>
    <x v="2"/>
    <s v="JULIO ERNESTO GARCIA"/>
    <d v="2022-11-08T00:00:00"/>
    <n v="81"/>
    <n v="76"/>
    <m/>
    <s v="Entregado al area"/>
    <x v="1"/>
    <d v="2022-12-30T00:00:00"/>
    <s v="Hoy viernes 11 de noviembre presentaban cotizaciones los proveedores pero el GTI amplió el presupuesto y se dio plazo hasta el martes 15 de noviembre para recibir cotizaciones"/>
    <d v="2022-12-30T00:00:00"/>
    <s v="Dec"/>
    <s v="Dec"/>
    <n v="57"/>
    <n v="52"/>
    <s v="G"/>
    <m/>
    <s v="200-AO-2518-2022"/>
    <d v="2022-12-29T00:00:00"/>
    <n v="199662655"/>
    <s v="MCAD TRAINIG &amp; CONSULTING"/>
    <m/>
    <n v="0"/>
    <m/>
    <m/>
    <m/>
    <m/>
    <m/>
    <m/>
    <m/>
    <m/>
    <n v="0"/>
    <n v="0"/>
    <n v="1"/>
  </r>
  <r>
    <n v="561"/>
    <s v="0608"/>
    <s v="GTI"/>
    <d v="2022-11-03T00:00:00"/>
    <x v="11"/>
    <s v="GTI0194"/>
    <s v="FR-200-GTI-0112-2022"/>
    <m/>
    <s v="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
    <n v="3082804945"/>
    <m/>
    <s v="900-IPU-0608-2022"/>
    <s v="IPU"/>
    <m/>
    <m/>
    <m/>
    <m/>
    <m/>
    <x v="0"/>
    <s v="AYDEE OVALLE"/>
    <d v="2022-11-08T00:00:00"/>
    <e v="#VALUE!"/>
    <e v="#VALUE!"/>
    <m/>
    <s v="Cerrado"/>
    <x v="0"/>
    <d v="2022-11-24T00:00:00"/>
    <s v="PROCESO CERRADO MEDIANTE ACTA DE CIERRE DEL 24 DE NOVIEMBRE FIRMADA POR GERENTE ABASTECIMIENTO (E)"/>
    <d v="2022-11-24T00:00:00"/>
    <m/>
    <s v="nov"/>
    <n v="21"/>
    <n v="16"/>
    <m/>
    <m/>
    <m/>
    <m/>
    <m/>
    <m/>
    <m/>
    <m/>
    <m/>
    <m/>
    <m/>
    <m/>
    <m/>
    <m/>
    <m/>
    <m/>
    <m/>
    <n v="0"/>
    <m/>
  </r>
  <r>
    <n v="562"/>
    <s v="0609"/>
    <s v="GUENAA"/>
    <d v="2022-11-03T00:00:00"/>
    <x v="11"/>
    <s v="GAA0803"/>
    <s v="FR-300-GAA-0251-2022"/>
    <m/>
    <s v="Realizar la reparacion, mantenimeinto y puesta en funcionamiento de equipos y componentes criticos en estaciones de bombeo de aguas lluvias y residuales para mitigar riesgos en el servicio de bombeo asociados a la variabilidad climatica "/>
    <n v="500000000"/>
    <m/>
    <s v="900-IP-0609-2022"/>
    <s v="IP-"/>
    <m/>
    <m/>
    <m/>
    <m/>
    <m/>
    <x v="2"/>
    <s v="JHON LARRY CAICEDO"/>
    <d v="2022-11-08T00:00:00"/>
    <e v="#VALUE!"/>
    <e v="#VALUE!"/>
    <m/>
    <s v="Cerrado"/>
    <x v="0"/>
    <d v="2022-12-29T00:00:00"/>
    <s v="PRCESO CERRADO MEDIANTE ACTA DEL 28 DE DICIEMBRE "/>
    <d v="2022-12-30T00:00:00"/>
    <m/>
    <s v="dic"/>
    <n v="57"/>
    <n v="52"/>
    <m/>
    <m/>
    <m/>
    <m/>
    <m/>
    <m/>
    <m/>
    <m/>
    <m/>
    <m/>
    <m/>
    <m/>
    <m/>
    <m/>
    <m/>
    <m/>
    <m/>
    <n v="1"/>
    <m/>
  </r>
  <r>
    <n v="563"/>
    <s v="0610"/>
    <s v="GUENAA"/>
    <d v="2022-11-03T00:00:00"/>
    <x v="11"/>
    <s v="GAA0239"/>
    <s v="FR-300-GAA-0256-2022"/>
    <s v="300-CMA-1974-2020"/>
    <s v="Suministro de materiales y activos no financieros, para las plantas de potabilizacion de EMCALI E.I.C.E. E.P.S"/>
    <n v="95655069"/>
    <m/>
    <m/>
    <s v=""/>
    <m/>
    <m/>
    <m/>
    <m/>
    <m/>
    <x v="3"/>
    <s v="LUCY ARBELAEZ"/>
    <d v="2022-11-08T00:00:00"/>
    <e v="#VALUE!"/>
    <e v="#VALUE!"/>
    <s v="NO"/>
    <s v="Devuelto"/>
    <x v="2"/>
    <d v="2022-11-15T00:00:00"/>
    <s v="COMITE UNIDAD DE PRODUCCION JUAN PABLO GUTIERREZ LIBERÓ LOS RECURSOS DE ESTE PROCESO, NO HAY DISPONIBILIDAD $$$"/>
    <d v="2022-11-15T00:00:00"/>
    <m/>
    <s v="nov"/>
    <n v="12"/>
    <n v="7"/>
    <m/>
    <m/>
    <m/>
    <m/>
    <m/>
    <m/>
    <m/>
    <m/>
    <m/>
    <m/>
    <m/>
    <m/>
    <m/>
    <m/>
    <m/>
    <m/>
    <m/>
    <n v="1"/>
    <m/>
  </r>
  <r>
    <n v="564"/>
    <s v="0611"/>
    <s v="GF"/>
    <d v="2022-11-04T00:00:00"/>
    <x v="11"/>
    <s v="GF0086"/>
    <s v="FR-700-GF-0080-2022"/>
    <m/>
    <s v="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
    <n v="3521229000"/>
    <m/>
    <m/>
    <s v=""/>
    <m/>
    <m/>
    <m/>
    <m/>
    <m/>
    <x v="3"/>
    <s v="LEIDY DIANA FRANCO"/>
    <d v="2022-11-09T00:00:00"/>
    <e v="#VALUE!"/>
    <e v="#VALUE!"/>
    <s v="NO"/>
    <s v="Devuelto"/>
    <x v="2"/>
    <m/>
    <m/>
    <d v="2022-11-04T00:00:00"/>
    <m/>
    <s v="nov"/>
    <n v="0"/>
    <n v="-5"/>
    <m/>
    <m/>
    <m/>
    <m/>
    <m/>
    <m/>
    <m/>
    <m/>
    <m/>
    <m/>
    <m/>
    <m/>
    <m/>
    <m/>
    <m/>
    <m/>
    <m/>
    <n v="0"/>
    <m/>
  </r>
  <r>
    <n v="565"/>
    <s v="0612"/>
    <s v="GUENTIC"/>
    <d v="2022-11-04T00:00:00"/>
    <x v="11"/>
    <s v="GT0235"/>
    <s v="FR-400-GT-0187-2022"/>
    <m/>
    <s v="Compra de equipos terminales (Access Point) para permitir la conectividad de internet a instituciones educativas y demás clientes corporativos que requieran puntos de acceso"/>
    <n v="478845428"/>
    <m/>
    <s v="900-IP-0612 -2022"/>
    <s v="IP-"/>
    <m/>
    <m/>
    <m/>
    <m/>
    <m/>
    <x v="2"/>
    <s v="JULIO ERNESTO GARCIA"/>
    <d v="2022-11-09T00:00:00"/>
    <e v="#VALUE!"/>
    <e v="#VALUE!"/>
    <m/>
    <s v="Devuelto"/>
    <x v="2"/>
    <d v="2022-12-26T00:00:00"/>
    <s v="El martes 15 de noviembre presentan cotizaciones los proveedores_x000a_24-11-2022, EL 17 DE NOVIEMBRE SE PASO PARA REVISION Y FIRMA DE ASESORES GAE._x000a_16-12-2022, esperando respuesta de area desde el 1 de diciembre sobre requisito de idoneidad"/>
    <d v="2022-12-26T00:00:00"/>
    <m/>
    <s v="dic"/>
    <n v="52"/>
    <n v="47"/>
    <m/>
    <m/>
    <m/>
    <m/>
    <m/>
    <m/>
    <m/>
    <m/>
    <m/>
    <m/>
    <m/>
    <m/>
    <m/>
    <m/>
    <m/>
    <m/>
    <m/>
    <n v="0"/>
    <m/>
  </r>
  <r>
    <n v="566"/>
    <s v="0613"/>
    <s v="GUENTIC"/>
    <d v="2022-11-04T00:00:00"/>
    <x v="11"/>
    <s v="GT0173"/>
    <s v="FR-400-GT-0205-2022"/>
    <m/>
    <s v="Soporte y Mantenimiento de alimentación DC (Potencia) de las UPS´s de San Fernando y Limonar de la UENTIC de EMCALI EICE ESP"/>
    <n v="115852936"/>
    <m/>
    <s v="900-IP-0613-2022"/>
    <s v="IP-"/>
    <m/>
    <m/>
    <m/>
    <m/>
    <m/>
    <x v="2"/>
    <s v="ANA MARIA GIL"/>
    <d v="2022-11-09T00:00:00"/>
    <e v="#VALUE!"/>
    <e v="#VALUE!"/>
    <m/>
    <s v="Cerrado"/>
    <x v="0"/>
    <d v="2022-12-22T00:00:00"/>
    <s v="PROCESO CERRADO MEDIANTE ACTA DE CIERRE DEL 22 DE DICIEMBRE FIRMADA POR GERENTE ABASTECIMIENTO (E)"/>
    <d v="2022-12-22T00:00:00"/>
    <m/>
    <s v="dic"/>
    <n v="48"/>
    <n v="43"/>
    <m/>
    <m/>
    <m/>
    <m/>
    <m/>
    <m/>
    <m/>
    <m/>
    <m/>
    <m/>
    <m/>
    <m/>
    <m/>
    <m/>
    <m/>
    <m/>
    <m/>
    <n v="0"/>
    <m/>
  </r>
  <r>
    <n v="567"/>
    <s v="0614"/>
    <s v="GUENTIC"/>
    <d v="2022-11-04T00:00:00"/>
    <x v="11"/>
    <s v="GT0138_x000a_GT0138_x000a_GT0201"/>
    <s v="FR-400-GT-0156-2022"/>
    <m/>
    <s v="Dotación de componentes especializados para el mantenimiento de redes de acceso en fibra óptica, para el personal de la GUENTIC"/>
    <n v="346526416"/>
    <m/>
    <s v="900-IP-0614-2022"/>
    <s v="IP-"/>
    <m/>
    <m/>
    <m/>
    <m/>
    <m/>
    <x v="2"/>
    <s v="CARLOS RODRIGUEZ"/>
    <d v="2022-12-16T00:00:00"/>
    <e v="#VALUE!"/>
    <e v="#VALUE!"/>
    <m/>
    <s v="Cerrado"/>
    <x v="0"/>
    <d v="2022-12-30T00:00:00"/>
    <m/>
    <d v="2022-12-30T00:00:00"/>
    <m/>
    <s v="dic"/>
    <n v="56"/>
    <n v="14"/>
    <m/>
    <m/>
    <m/>
    <m/>
    <m/>
    <m/>
    <m/>
    <m/>
    <m/>
    <m/>
    <m/>
    <m/>
    <m/>
    <m/>
    <m/>
    <m/>
    <m/>
    <n v="0"/>
    <m/>
  </r>
  <r>
    <n v="568"/>
    <s v="0615"/>
    <s v="GUENTIC"/>
    <d v="2022-11-04T00:00:00"/>
    <x v="11"/>
    <s v="GT0143"/>
    <s v="FR-400-GT-0194-2022"/>
    <m/>
    <s v="Suministro de Repuestos e insumos para equipos de climatización de Telecomunicaciones de EMCALI"/>
    <n v="146064884"/>
    <m/>
    <s v="900-IP-0615-2022"/>
    <s v="IP-"/>
    <m/>
    <m/>
    <m/>
    <m/>
    <m/>
    <x v="2"/>
    <s v="CAMILO NUÑEZ"/>
    <d v="2022-11-09T00:00:00"/>
    <e v="#VALUE!"/>
    <e v="#VALUE!"/>
    <m/>
    <s v="Cerrado"/>
    <x v="0"/>
    <d v="2022-12-30T00:00:00"/>
    <s v="24-11-2022, PROCESO EN ELABORACION DE FPA E INVITACION, NO SE PASA AUN A REVISION POR ESPERA DE CDP AJUSTADO A SAP. JESUS PASTRANA SE ENCUENTRA TRAMITANDO ESTE DOCUMENTO_x000a_30-11-2022, PASA AL ASESOR GAE "/>
    <d v="2022-12-30T00:00:00"/>
    <m/>
    <s v="dic"/>
    <n v="56"/>
    <n v="51"/>
    <m/>
    <m/>
    <m/>
    <m/>
    <m/>
    <m/>
    <m/>
    <m/>
    <m/>
    <m/>
    <m/>
    <m/>
    <m/>
    <m/>
    <m/>
    <m/>
    <m/>
    <n v="0"/>
    <m/>
  </r>
  <r>
    <n v="569"/>
    <s v="0616"/>
    <s v="GUENTIC"/>
    <d v="2022-11-04T00:00:00"/>
    <x v="11"/>
    <s v="GT0252"/>
    <s v="FR-400-GT-0209-2022"/>
    <m/>
    <s v="Suministro, implementacion e instalacion de una solucion WIFI con equipos access point outdoor ruckus, con portal cautivo en nueve pantallas en boulevard del rio cali, lo que permita la conectividad al internet de los usuarios de dicho sitio turistico"/>
    <n v="460000009"/>
    <m/>
    <s v="900-IP-0616-2022"/>
    <s v="IP-"/>
    <m/>
    <m/>
    <m/>
    <m/>
    <m/>
    <x v="2"/>
    <s v="CARLOS RODRIGUEZ"/>
    <d v="2022-12-16T00:00:00"/>
    <e v="#VALUE!"/>
    <e v="#VALUE!"/>
    <m/>
    <s v="Cerrado"/>
    <x v="0"/>
    <d v="2022-12-30T00:00:00"/>
    <m/>
    <d v="2022-12-30T00:00:00"/>
    <m/>
    <s v="dic"/>
    <n v="56"/>
    <n v="14"/>
    <m/>
    <m/>
    <m/>
    <m/>
    <m/>
    <m/>
    <m/>
    <m/>
    <m/>
    <m/>
    <m/>
    <m/>
    <m/>
    <m/>
    <m/>
    <m/>
    <m/>
    <n v="0"/>
    <m/>
  </r>
  <r>
    <n v="570"/>
    <s v="0617"/>
    <s v="GUENE"/>
    <d v="2022-11-04T00:00:00"/>
    <x v="11"/>
    <s v="GE0375"/>
    <s v="FR-500-GE-0247-2022"/>
    <m/>
    <s v="Calibracion equipo medidor de multiparametros "/>
    <n v="892500"/>
    <m/>
    <s v="900-IP-0617-2022"/>
    <s v="IP-"/>
    <m/>
    <m/>
    <m/>
    <m/>
    <m/>
    <x v="2"/>
    <s v="IVAN ALDANA"/>
    <d v="2022-11-09T00:00:00"/>
    <e v="#VALUE!"/>
    <e v="#VALUE!"/>
    <m/>
    <s v="Cerrado"/>
    <x v="0"/>
    <d v="2022-12-30T00:00:00"/>
    <s v="30-11-2022, SE PIDIO SEGUNDA COTIZACION Y REGISTRAR EN REGISTRO PROVEEDOR."/>
    <d v="2022-12-30T00:00:00"/>
    <m/>
    <s v="dic"/>
    <n v="56"/>
    <n v="51"/>
    <m/>
    <m/>
    <m/>
    <m/>
    <m/>
    <m/>
    <m/>
    <m/>
    <m/>
    <m/>
    <m/>
    <m/>
    <m/>
    <m/>
    <m/>
    <m/>
    <m/>
    <n v="1"/>
    <m/>
  </r>
  <r>
    <n v="571"/>
    <s v="0618"/>
    <s v="GUENE"/>
    <d v="2022-11-04T00:00:00"/>
    <x v="11"/>
    <s v="GE0187"/>
    <s v="FR-500-GE-0266-2022"/>
    <m/>
    <s v="Prueba de rigidez dielectrica para vehiculo tipo canasta"/>
    <n v="33891200"/>
    <m/>
    <s v="900-IP-0618-2022"/>
    <s v="IP-"/>
    <m/>
    <m/>
    <m/>
    <m/>
    <m/>
    <x v="2"/>
    <s v="MARIA CAMILA OLIVEROS"/>
    <d v="2022-11-09T00:00:00"/>
    <n v="80"/>
    <n v="75"/>
    <m/>
    <s v="Entregado al area"/>
    <x v="1"/>
    <d v="2022-12-30T00:00:00"/>
    <m/>
    <d v="2022-12-30T00:00:00"/>
    <s v="Dec"/>
    <s v="Dec"/>
    <n v="56"/>
    <n v="51"/>
    <s v="G"/>
    <m/>
    <s v="500-AO-2495-2022"/>
    <d v="2022-12-23T00:00:00"/>
    <n v="33891200"/>
    <s v="EPRING S.A.S"/>
    <s v="AB-2300003092"/>
    <n v="0"/>
    <m/>
    <m/>
    <m/>
    <m/>
    <m/>
    <m/>
    <m/>
    <m/>
    <n v="0"/>
    <n v="1"/>
    <n v="1"/>
  </r>
  <r>
    <n v="572"/>
    <s v="0619"/>
    <s v="GUENE"/>
    <d v="2022-11-08T00:00:00"/>
    <x v="11"/>
    <s v="GE0215_x000a_GE0222_x000a_GE0229_x000a_GE0312"/>
    <s v="FR-500-GE-0199-2022"/>
    <m/>
    <s v="Suministro de materiales y elementos de proteccion electrica para ser instalados en redes de distribucion "/>
    <n v="126976393"/>
    <m/>
    <s v="900-IP-0619-2022"/>
    <s v="IP-"/>
    <m/>
    <m/>
    <m/>
    <m/>
    <m/>
    <x v="2"/>
    <s v="ANA MARIA GIL"/>
    <d v="2022-11-09T00:00:00"/>
    <n v="76"/>
    <n v="75"/>
    <m/>
    <s v="Entregado al area"/>
    <x v="1"/>
    <d v="2022-12-30T00:00:00"/>
    <m/>
    <d v="2022-12-29T00:00:00"/>
    <s v="Dec"/>
    <s v="Dec"/>
    <n v="51"/>
    <n v="50"/>
    <s v="G"/>
    <m/>
    <s v="500-AO-2507-2022"/>
    <d v="2022-12-27T00:00:00"/>
    <n v="126965610"/>
    <s v="AGWA S.A.S"/>
    <s v="AB-2300003107"/>
    <n v="10783"/>
    <m/>
    <m/>
    <m/>
    <m/>
    <m/>
    <m/>
    <m/>
    <m/>
    <n v="8.4921297142217606E-5"/>
    <n v="1"/>
    <n v="1"/>
  </r>
  <r>
    <n v="573"/>
    <s v="0620"/>
    <s v="GUENE"/>
    <d v="2022-11-08T00:00:00"/>
    <x v="11"/>
    <s v="GE0321_x000a_GE0327"/>
    <s v="FR-500-GE-0276-2022"/>
    <m/>
    <s v="Suministro de materiales y elementos de proteccion electrica para ser instalados en redes y subestaciones de energia "/>
    <n v="156215465"/>
    <m/>
    <s v="900-IP-0620-2022"/>
    <s v="IP-"/>
    <m/>
    <m/>
    <m/>
    <m/>
    <m/>
    <x v="2"/>
    <s v="PAOLA BELTRAN"/>
    <d v="2022-11-09T00:00:00"/>
    <n v="76"/>
    <n v="75"/>
    <m/>
    <s v="Entregado al area"/>
    <x v="1"/>
    <d v="2022-12-22T00:00:00"/>
    <s v="Se envío Invitación A ofertar al proveedor el 23 de noviembre de 2022, com plazo de entrega de la oferta el 28 de noviembre de 2022."/>
    <d v="2022-12-22T00:00:00"/>
    <s v="Dec"/>
    <s v="Dec"/>
    <n v="44"/>
    <n v="43"/>
    <s v="G"/>
    <m/>
    <s v="500-AO-2452-2022"/>
    <d v="2022-12-07T00:00:00"/>
    <n v="154344785"/>
    <s v="METALICAS Y ELECTRICAS MELEC S.A"/>
    <s v="PY-2270000324"/>
    <n v="1870680"/>
    <m/>
    <m/>
    <m/>
    <m/>
    <m/>
    <m/>
    <m/>
    <m/>
    <n v="1.1974998762126401E-2"/>
    <n v="1"/>
    <n v="1"/>
  </r>
  <r>
    <n v="574"/>
    <s v="0621"/>
    <s v="GUENAA"/>
    <d v="2022-11-08T00:00:00"/>
    <x v="11"/>
    <s v="PRECALIF"/>
    <s v="FR-300-GAA-0259-2022"/>
    <m/>
    <s v="Realizar la conformacion de sectores hidraulicos en la red baja oriental del sis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5"/>
    <s v="0622"/>
    <s v="GUENAA"/>
    <d v="2022-11-08T00:00:00"/>
    <x v="11"/>
    <s v="PRECALIF"/>
    <s v="FR-300-GAA-0258-2022"/>
    <m/>
    <s v="Realizar la interventoria tecnica, administrativa,financiera,contable y juridica del contrato que ejecutara la conformacion de sectores hidraulicos en la red baja oriental del si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6"/>
    <s v="0623"/>
    <s v="GUENAA"/>
    <d v="2022-11-08T00:00:00"/>
    <x v="11"/>
    <s v="PRECALIF"/>
    <s v="FR-300-GAA-0261-2022"/>
    <m/>
    <s v="Optimización de la estacion de bombeo de aguas lluvias paso del comercio- pas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7"/>
    <s v="0624"/>
    <s v="GUENAA"/>
    <d v="2022-11-08T00:00:00"/>
    <x v="11"/>
    <s v="PRECALIF"/>
    <s v="FR-300-GAA-0260-2022"/>
    <m/>
    <s v="Interventoria para el suministro,montaje,instalacion,pruebas,calibracion y puesta en funcionamiento de equipos, elementos y demas infraestructura requerida para la estacion de bombeo de paso del comerci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8"/>
    <s v="0625"/>
    <s v="GUENAA"/>
    <d v="2022-11-08T00:00:00"/>
    <x v="11"/>
    <s v="PRECALIF"/>
    <s v="FR-300-GAA-0262-2022"/>
    <m/>
    <s v="Interventoria construccion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79"/>
    <s v="0626"/>
    <s v="GUENAA"/>
    <d v="2022-11-08T00:00:00"/>
    <x v="11"/>
    <s v="PRECALIF"/>
    <s v="FR-300-GAA-0263-2022"/>
    <m/>
    <s v="Construccion de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m/>
    <s v="nov"/>
    <n v="22"/>
    <n v="21"/>
    <m/>
    <m/>
    <m/>
    <m/>
    <m/>
    <m/>
    <m/>
    <m/>
    <m/>
    <m/>
    <m/>
    <m/>
    <m/>
    <m/>
    <m/>
    <m/>
    <m/>
    <n v="1"/>
    <m/>
  </r>
  <r>
    <n v="580"/>
    <s v="0627"/>
    <s v="GAGHA"/>
    <d v="2022-11-11T00:00:00"/>
    <x v="11"/>
    <s v="GHA0078_x000a_GHA0193"/>
    <s v="FR-800-GHA-0202-2022"/>
    <s v="800-CMA-1925-2021"/>
    <s v="Realizar las actividades para llevar a cabo las adecuaciones locativas y mantenimiento preventivos y correctivos en las sedes pertenecientes al corporativo de EMCALI- CAM TORRE EMCALI"/>
    <s v=" $           356.999.000,00"/>
    <m/>
    <s v="N/A"/>
    <s v=""/>
    <m/>
    <m/>
    <m/>
    <m/>
    <m/>
    <x v="3"/>
    <s v="FRANCIA RAMÍREZ"/>
    <d v="2022-11-11T00:00:00"/>
    <e v="#VALUE!"/>
    <e v="#VALUE!"/>
    <m/>
    <s v="Cerrado"/>
    <x v="0"/>
    <d v="2022-12-16T00:00:00"/>
    <s v="ESTA EN EVALUACION DE ITEMS NUEVOS _x000a_16-12-2022-PROCESO CERRADO MEDIANTE ACTA DEL 14 DE DICIEMBRE "/>
    <d v="2022-12-16T00:00:00"/>
    <m/>
    <s v="dic"/>
    <n v="35"/>
    <n v="35"/>
    <m/>
    <m/>
    <m/>
    <m/>
    <m/>
    <m/>
    <m/>
    <m/>
    <m/>
    <m/>
    <m/>
    <m/>
    <m/>
    <m/>
    <m/>
    <m/>
    <m/>
    <n v="0"/>
    <m/>
  </r>
  <r>
    <n v="581"/>
    <s v="0628"/>
    <s v="GUENTIC"/>
    <d v="2022-11-16T00:00:00"/>
    <x v="11"/>
    <s v="GT0251"/>
    <s v="FR-400-GT-0208-2022"/>
    <m/>
    <s v="Suministro de Terminales Ópticos ONT para la instalación de servicios en los clientes a tráves de la expansión de proyectos de FTTH (fibra hasta la casa) de EMCALI."/>
    <s v=" $       6.770.243.200,00"/>
    <m/>
    <s v="900-IP-0628-2022"/>
    <s v="IP-"/>
    <m/>
    <m/>
    <m/>
    <m/>
    <m/>
    <x v="2"/>
    <s v="JHON LARRY CAICEDO"/>
    <d v="2022-11-16T00:00:00"/>
    <e v="#VALUE!"/>
    <e v="#VALUE!"/>
    <m/>
    <s v="Devuelto"/>
    <x v="2"/>
    <d v="2022-11-30T00:00:00"/>
    <s v="SE DEVUELVE AL AREA PORQUE NO SE PUEDE REALIZAR POR IP Y POR TIEMPO NO SE PUEDE IPU"/>
    <d v="2022-11-30T00:00:00"/>
    <m/>
    <s v="nov"/>
    <n v="14"/>
    <n v="14"/>
    <m/>
    <m/>
    <m/>
    <m/>
    <m/>
    <m/>
    <m/>
    <m/>
    <m/>
    <m/>
    <m/>
    <m/>
    <m/>
    <m/>
    <m/>
    <m/>
    <m/>
    <n v="0"/>
    <m/>
  </r>
  <r>
    <n v="582"/>
    <s v="0629"/>
    <s v="GUENTIC"/>
    <d v="2022-11-16T00:00:00"/>
    <x v="11"/>
    <s v="GT0134"/>
    <s v="FR-400-GT-0162-2022"/>
    <m/>
    <s v="Suministros Plataforma de Control Softswitch clase 4 y clase 5 y SBC para la GUENTIC"/>
    <s v=" $       1.500.000.000,00"/>
    <m/>
    <m/>
    <s v=""/>
    <m/>
    <m/>
    <m/>
    <m/>
    <m/>
    <x v="3"/>
    <s v="LEIDY DIANA FRANCO"/>
    <d v="2022-11-16T00:00:00"/>
    <e v="#VALUE!"/>
    <e v="#VALUE!"/>
    <m/>
    <s v="Devuelto"/>
    <x v="2"/>
    <d v="2022-11-30T00:00:00"/>
    <m/>
    <d v="2022-11-30T00:00:00"/>
    <m/>
    <s v="nov"/>
    <n v="14"/>
    <n v="14"/>
    <m/>
    <m/>
    <m/>
    <m/>
    <m/>
    <m/>
    <m/>
    <m/>
    <m/>
    <m/>
    <m/>
    <m/>
    <m/>
    <m/>
    <m/>
    <m/>
    <m/>
    <n v="0"/>
    <m/>
  </r>
  <r>
    <n v="583"/>
    <s v="0630"/>
    <s v="GAGHA"/>
    <d v="2022-11-18T00:00:00"/>
    <x v="11"/>
    <s v="GHA0286"/>
    <s v="FR-800-GHA-0203-2022"/>
    <m/>
    <s v="Realizar la Inspección de ocho (8) ascensores utilizados por EMCALI para el transporte "/>
    <n v="4311570"/>
    <m/>
    <s v="900-IP-0630-2022"/>
    <s v="IP-"/>
    <m/>
    <m/>
    <m/>
    <m/>
    <m/>
    <x v="2"/>
    <s v="JULIO ERAZO"/>
    <d v="2022-11-18T00:00:00"/>
    <n v="66"/>
    <n v="66"/>
    <m/>
    <s v="Entregado al area"/>
    <x v="1"/>
    <d v="2022-12-28T00:00:00"/>
    <m/>
    <d v="2022-12-28T00:00:00"/>
    <s v="Dec"/>
    <s v="Dec"/>
    <n v="40"/>
    <n v="40"/>
    <s v="G"/>
    <m/>
    <s v="800-AO-2476-2022"/>
    <d v="2022-12-16T00:00:00"/>
    <n v="3891300"/>
    <s v="SERVIMETERS S.A.S"/>
    <s v="PM-2100000111"/>
    <n v="420270"/>
    <m/>
    <m/>
    <m/>
    <m/>
    <m/>
    <m/>
    <m/>
    <m/>
    <n v="9.747493372483805E-2"/>
    <n v="0"/>
    <n v="1"/>
  </r>
  <r>
    <n v="584"/>
    <s v="0631"/>
    <s v="GUENAA"/>
    <d v="2022-11-21T00:00:00"/>
    <x v="11"/>
    <s v="GAA0808"/>
    <s v="FR-300-GAA-0264-2022"/>
    <m/>
    <s v="Atender y reparar en el menor tiempo posible los daños localizdos y detectados en las redes matrices, con tuberias &gt; a 12 &quot; del sistema de distribucion de acueducto en las areas de cobertura de EMCALI EICE EPS"/>
    <n v="2990000000"/>
    <m/>
    <m/>
    <s v=""/>
    <m/>
    <m/>
    <m/>
    <m/>
    <m/>
    <x v="3"/>
    <s v="HAROLD MONDRAGON"/>
    <d v="2022-11-21T00:00:00"/>
    <e v="#VALUE!"/>
    <e v="#VALUE!"/>
    <m/>
    <s v="ELABORACION OFICIO DEVOLUCION "/>
    <x v="2"/>
    <d v="2022-11-30T00:00:00"/>
    <m/>
    <d v="2022-11-30T00:00:00"/>
    <m/>
    <s v="nov"/>
    <n v="9"/>
    <n v="9"/>
    <m/>
    <m/>
    <m/>
    <m/>
    <m/>
    <m/>
    <m/>
    <m/>
    <m/>
    <m/>
    <m/>
    <m/>
    <m/>
    <m/>
    <m/>
    <m/>
    <m/>
    <n v="1"/>
    <m/>
  </r>
  <r>
    <n v="585"/>
    <s v="0632"/>
    <s v="GUENAA"/>
    <d v="2022-11-21T00:00:00"/>
    <x v="11"/>
    <s v="GAA0814"/>
    <s v="FR-300-GAA-0265-2022"/>
    <m/>
    <s v="Reparacion losas canal carrera 39 entre calles 12b y 13"/>
    <n v="492050342"/>
    <m/>
    <s v="900-IP-0632-2022"/>
    <s v="IP-"/>
    <m/>
    <m/>
    <m/>
    <m/>
    <m/>
    <x v="2"/>
    <s v="LINA ECHAVARRIA"/>
    <d v="2022-11-21T00:00:00"/>
    <n v="63"/>
    <n v="63"/>
    <m/>
    <s v="Entregado al area"/>
    <x v="1"/>
    <d v="2022-12-22T00:00:00"/>
    <s v="30.11.2022 Se paso FPA e invitación para revision de Sarha"/>
    <d v="2022-12-21T00:00:00"/>
    <s v="Dec"/>
    <s v="Dec"/>
    <n v="30"/>
    <n v="30"/>
    <s v="G"/>
    <m/>
    <s v="300-AO-2480-2022"/>
    <d v="2022-12-16T00:00:00"/>
    <n v="455773714"/>
    <s v="ALVARO LAZARON DEL VALLE "/>
    <s v="GD2050000208"/>
    <n v="36276628"/>
    <m/>
    <m/>
    <m/>
    <m/>
    <m/>
    <m/>
    <m/>
    <m/>
    <n v="7.3725440068894407E-2"/>
    <n v="1"/>
    <n v="1"/>
  </r>
  <r>
    <n v="586"/>
    <s v="0633"/>
    <s v="GUENAA"/>
    <d v="2022-11-21T00:00:00"/>
    <x v="11"/>
    <s v="GAA0813"/>
    <s v="FR-300-GAA-0266-2022"/>
    <s v="500-CMA-1743-2021"/>
    <s v="SUMINISTRO CABLES PTAP"/>
    <n v="449808029"/>
    <m/>
    <s v="N/A"/>
    <s v=""/>
    <m/>
    <m/>
    <m/>
    <m/>
    <m/>
    <x v="3"/>
    <s v="ADALBERTO VALENCIA"/>
    <d v="2022-11-21T00:00:00"/>
    <e v="#VALUE!"/>
    <e v="#VALUE!"/>
    <m/>
    <s v="Cerrado"/>
    <x v="0"/>
    <d v="2022-12-23T00:00:00"/>
    <s v="EMCALI a través de la Gerencia de Abastecimiento Empresarial, se permite comunicar el CIERRE del proceso de invitación a presentar descuento derivado del contrato Marco No. 500-CMA-1743-2021/AO-017-2022, conforme a lo establecido en el artículo 42 del Manual de Contratación de EMCALI."/>
    <d v="2022-12-22T00:00:00"/>
    <m/>
    <s v="dic"/>
    <n v="31"/>
    <n v="31"/>
    <m/>
    <m/>
    <m/>
    <m/>
    <m/>
    <m/>
    <m/>
    <m/>
    <m/>
    <m/>
    <m/>
    <m/>
    <m/>
    <m/>
    <m/>
    <m/>
    <m/>
    <n v="1"/>
    <m/>
  </r>
  <r>
    <n v="587"/>
    <s v="0634"/>
    <s v="GF"/>
    <d v="2022-11-23T00:00:00"/>
    <x v="11"/>
    <s v="GF0086"/>
    <s v="FR-700-080-2022"/>
    <m/>
    <s v="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
    <n v="3521229000"/>
    <m/>
    <m/>
    <s v=""/>
    <m/>
    <m/>
    <m/>
    <m/>
    <m/>
    <x v="3"/>
    <s v="LEIDY DIANA FRANCO"/>
    <d v="2022-11-23T00:00:00"/>
    <e v="#VALUE!"/>
    <e v="#VALUE!"/>
    <m/>
    <s v="Devuelto"/>
    <x v="2"/>
    <d v="2022-11-30T00:00:00"/>
    <s v="SE DEVUELVE AL AREA POR CORREO ELECTRONICO DE SANTIAGO ECHEVERRI INDICANDO QUE POR INSTRUCCIONES DADAS SE REALIZARA CONVENIO INTER ADMINISTRATIVO POR SECRETARIA GENERAL "/>
    <d v="2022-11-30T00:00:00"/>
    <m/>
    <s v="nov"/>
    <n v="7"/>
    <n v="7"/>
    <m/>
    <m/>
    <m/>
    <m/>
    <m/>
    <m/>
    <m/>
    <m/>
    <m/>
    <m/>
    <m/>
    <m/>
    <m/>
    <m/>
    <m/>
    <m/>
    <m/>
    <n v="0"/>
    <m/>
  </r>
  <r>
    <n v="588"/>
    <s v="0635"/>
    <s v="GAGHA"/>
    <d v="2022-11-25T00:00:00"/>
    <x v="11"/>
    <s v="GHA0288"/>
    <s v="FR-800-GHA-0214-2022"/>
    <m/>
    <s v="Realizar la compra de tres (3) equipos de presión-succión para la Unidad de Recolección de la UENAA"/>
    <n v="10796018522"/>
    <m/>
    <s v="900-IP-0635-2022"/>
    <s v="IP-"/>
    <m/>
    <m/>
    <m/>
    <m/>
    <m/>
    <x v="2"/>
    <s v="PAOLA BELTRAN"/>
    <d v="2022-11-25T00:00:00"/>
    <e v="#VALUE!"/>
    <e v="#VALUE!"/>
    <m/>
    <s v="Devuelto"/>
    <x v="2"/>
    <d v="2022-12-30T00:00:00"/>
    <s v="Se elaboró FPA e INVIACIÓN, pero de acuerdo a instrucciones de jefatura se va a tramitar este año el proceso IP-0640-2022 _x000a_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
    <d v="2022-12-22T00:00:00"/>
    <m/>
    <s v="dic"/>
    <n v="27"/>
    <n v="27"/>
    <m/>
    <m/>
    <m/>
    <m/>
    <m/>
    <m/>
    <m/>
    <m/>
    <m/>
    <m/>
    <m/>
    <m/>
    <m/>
    <m/>
    <m/>
    <m/>
    <m/>
    <n v="0"/>
    <m/>
  </r>
  <r>
    <n v="589"/>
    <s v="0636"/>
    <s v="GUENE"/>
    <d v="2022-11-23T00:00:00"/>
    <x v="11"/>
    <s v="GE0388"/>
    <s v="FR-500-GE-0254-2022"/>
    <m/>
    <s v="Mantenimiento preventivo a compresores de aire"/>
    <n v="1116220"/>
    <m/>
    <s v="900-IP-0636-2022"/>
    <s v="IP-"/>
    <m/>
    <m/>
    <m/>
    <m/>
    <m/>
    <x v="2"/>
    <s v="CAMILO NUÑEZ"/>
    <d v="2022-11-28T00:00:00"/>
    <e v="#VALUE!"/>
    <e v="#VALUE!"/>
    <m/>
    <s v="Cerrado"/>
    <x v="0"/>
    <d v="2022-12-30T00:00:00"/>
    <m/>
    <d v="2022-12-30T00:00:00"/>
    <m/>
    <s v="dic"/>
    <n v="37"/>
    <n v="32"/>
    <m/>
    <m/>
    <m/>
    <m/>
    <m/>
    <m/>
    <m/>
    <m/>
    <m/>
    <m/>
    <m/>
    <m/>
    <m/>
    <m/>
    <m/>
    <m/>
    <m/>
    <n v="1"/>
    <m/>
  </r>
  <r>
    <n v="590"/>
    <s v="0637"/>
    <s v="GUENE"/>
    <d v="2022-11-23T00:00:00"/>
    <x v="11"/>
    <s v="GE0387"/>
    <s v="FR-500-GE-0255-2022"/>
    <m/>
    <s v="Mantenimiento preventivo a Balanza Analítica"/>
    <n v="251090"/>
    <m/>
    <s v="900-IP-0637-2022"/>
    <s v="IP-"/>
    <m/>
    <m/>
    <m/>
    <m/>
    <m/>
    <x v="2"/>
    <s v="CAMILO NUÑEZ"/>
    <d v="2022-11-28T00:00:00"/>
    <e v="#VALUE!"/>
    <e v="#VALUE!"/>
    <m/>
    <s v="Cerrado"/>
    <x v="0"/>
    <d v="2022-12-30T00:00:00"/>
    <m/>
    <d v="2022-12-30T00:00:00"/>
    <m/>
    <s v="dic"/>
    <n v="37"/>
    <n v="32"/>
    <m/>
    <m/>
    <m/>
    <m/>
    <m/>
    <m/>
    <m/>
    <m/>
    <m/>
    <m/>
    <m/>
    <m/>
    <m/>
    <m/>
    <m/>
    <m/>
    <m/>
    <n v="1"/>
    <m/>
  </r>
  <r>
    <n v="591"/>
    <s v="0638"/>
    <s v="GAGHA"/>
    <d v="2022-11-29T00:00:00"/>
    <x v="11"/>
    <s v="GHA0287"/>
    <s v="FR-800-GHA-0199-2022"/>
    <s v="800-CMA-1913-2021"/>
    <s v="Realizar las actividades necesarias para llevar a cabo las adecuaciones locativas y mantenimiento preventivos y correctivos sedes pertenecientes a la GUENTIC. Centrales Telefonicas"/>
    <n v="69932512"/>
    <m/>
    <s v="N/A"/>
    <s v=""/>
    <m/>
    <m/>
    <m/>
    <m/>
    <m/>
    <x v="3"/>
    <s v="FRANCIA RAMÍREZ"/>
    <d v="2022-11-29T00:00:00"/>
    <e v="#VALUE!"/>
    <e v="#VALUE!"/>
    <m/>
    <s v="Cerrado"/>
    <x v="0"/>
    <d v="2022-12-16T00:00:00"/>
    <s v=" Mediante ACTA DE CIERRE, se da por terminado el proceso de invitación, 14/12/2022"/>
    <d v="2022-12-14T00:00:00"/>
    <m/>
    <s v="dic"/>
    <n v="15"/>
    <n v="15"/>
    <m/>
    <m/>
    <m/>
    <m/>
    <m/>
    <m/>
    <m/>
    <m/>
    <m/>
    <m/>
    <m/>
    <m/>
    <m/>
    <m/>
    <m/>
    <m/>
    <m/>
    <n v="0"/>
    <m/>
  </r>
  <r>
    <n v="592"/>
    <s v="0639"/>
    <s v="GUENE"/>
    <d v="2022-11-30T00:00:00"/>
    <x v="11"/>
    <s v="GE0396"/>
    <s v="FR-500-GE-0279-2022"/>
    <m/>
    <s v="Suministro de las luminarias y proyectores Led para Sistemas de Alumbrado Público      "/>
    <n v="497254424"/>
    <m/>
    <s v="900-IP-0639-2022"/>
    <s v="IP-"/>
    <m/>
    <m/>
    <m/>
    <m/>
    <m/>
    <x v="2"/>
    <s v="PAOLA BELTRAN"/>
    <d v="2022-11-30T00:00:00"/>
    <e v="#VALUE!"/>
    <e v="#VALUE!"/>
    <m/>
    <s v="Cerrado"/>
    <x v="0"/>
    <d v="2022-12-30T00:00:00"/>
    <s v="Cierre de proceso 900-IP-0639-2022  con objeto: Suministro de luminarias y proyectores Led para Sistema de Alumbrado Público.”, mediante acta de cierre de fecha 29 de diciembre de 2022."/>
    <d v="2022-12-29T00:00:00"/>
    <m/>
    <s v="dic"/>
    <n v="29"/>
    <n v="29"/>
    <m/>
    <m/>
    <m/>
    <m/>
    <m/>
    <m/>
    <m/>
    <m/>
    <m/>
    <m/>
    <m/>
    <m/>
    <m/>
    <m/>
    <m/>
    <m/>
    <m/>
    <n v="1"/>
    <m/>
  </r>
  <r>
    <n v="593"/>
    <s v="0640"/>
    <s v="GAGHA"/>
    <d v="2022-11-30T00:00:00"/>
    <x v="11"/>
    <s v="GHA0290"/>
    <s v="FR-800-GHA-0214-2022"/>
    <m/>
    <s v="Realizar la compra de un (1) equipo de preción-succión para la Unidad de Recolección de la UENAA"/>
    <n v="3824682012"/>
    <m/>
    <s v="900-IP-0640-2022"/>
    <s v="IP-"/>
    <m/>
    <m/>
    <m/>
    <m/>
    <m/>
    <x v="2"/>
    <s v="PAOLA BELTRAN"/>
    <d v="2022-11-30T00:00:00"/>
    <e v="#VALUE!"/>
    <e v="#VALUE!"/>
    <m/>
    <s v="Devuelto"/>
    <x v="2"/>
    <d v="2022-12-30T00:00:00"/>
    <s v=" En revisión FPA e INVITACIÓN por Jose Julian desde el 14 de diciembre de 2022. _x000a_30-12-2022, Se realiza devolución de Requerimiento al área el 22 de diciembre de 2022, Devolución de Requerimiento FR-800-214-2022"/>
    <d v="2022-12-22T00:00:00"/>
    <m/>
    <s v="dic"/>
    <n v="22"/>
    <n v="22"/>
    <m/>
    <m/>
    <m/>
    <m/>
    <m/>
    <m/>
    <m/>
    <m/>
    <m/>
    <m/>
    <m/>
    <m/>
    <m/>
    <m/>
    <m/>
    <m/>
    <m/>
    <n v="0"/>
    <m/>
  </r>
  <r>
    <n v="594"/>
    <s v="0641"/>
    <s v="GAGHA"/>
    <d v="2022-11-30T00:00:00"/>
    <x v="11"/>
    <s v="GHA0289"/>
    <s v="FR-800-GHA-0214-2022"/>
    <m/>
    <s v="Realizar la compra de un (1) equipo de preción-succión para la Unidad de Recolección de la UENAA"/>
    <n v="3469712628"/>
    <m/>
    <s v="900-IP-0641-2022"/>
    <s v="IP-"/>
    <m/>
    <m/>
    <m/>
    <m/>
    <m/>
    <x v="2"/>
    <s v="PAOLA BELTRAN"/>
    <d v="2022-11-30T00:00:00"/>
    <e v="#VALUE!"/>
    <e v="#VALUE!"/>
    <m/>
    <s v="Devuelto"/>
    <x v="2"/>
    <d v="2022-12-30T00:00:00"/>
    <s v="Se elaboró FPA e INVIACIÓN, pero de acuerdo a instrucciones de jefatura se va a tramitar este año el proceso IP-0640-2022_x000a_30-12-2022 Se realiza devolución de Requerimiento al área el 22 de diciembre de 2022, Devolución de Requerimiento FR-800-214-2022"/>
    <d v="2022-12-22T00:00:00"/>
    <m/>
    <s v="dic"/>
    <n v="22"/>
    <n v="22"/>
    <m/>
    <m/>
    <m/>
    <m/>
    <m/>
    <m/>
    <m/>
    <m/>
    <m/>
    <m/>
    <m/>
    <m/>
    <m/>
    <m/>
    <m/>
    <m/>
    <m/>
    <n v="0"/>
    <m/>
  </r>
  <r>
    <n v="595"/>
    <s v="0642"/>
    <s v="GAGHA"/>
    <d v="2022-11-30T00:00:00"/>
    <x v="11"/>
    <s v="GHA0037"/>
    <s v="FR-800-GHA-0197-2022"/>
    <m/>
    <s v="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
    <n v="43996960"/>
    <m/>
    <s v="900-IP-0642-2022"/>
    <s v="IP-"/>
    <m/>
    <m/>
    <m/>
    <m/>
    <m/>
    <x v="2"/>
    <s v="ANA MARIA GIL"/>
    <d v="2022-11-30T00:00:00"/>
    <e v="#VALUE!"/>
    <e v="#VALUE!"/>
    <m/>
    <s v="Devuelto"/>
    <x v="2"/>
    <d v="2022-12-30T00:00:00"/>
    <m/>
    <d v="2022-12-30T00:00:00"/>
    <m/>
    <s v="dic"/>
    <n v="30"/>
    <n v="30"/>
    <m/>
    <m/>
    <m/>
    <m/>
    <m/>
    <m/>
    <m/>
    <m/>
    <m/>
    <m/>
    <m/>
    <m/>
    <m/>
    <m/>
    <m/>
    <m/>
    <m/>
    <n v="0"/>
    <m/>
  </r>
  <r>
    <n v="596"/>
    <s v="0643"/>
    <s v="GTI"/>
    <d v="2022-11-30T00:00:00"/>
    <x v="11"/>
    <s v="GTI0213_x000a_GTI0214"/>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0643-2022"/>
    <s v="IP-"/>
    <m/>
    <m/>
    <m/>
    <m/>
    <m/>
    <x v="2"/>
    <s v="PAOLA BELTRAN"/>
    <d v="2022-11-30T00:00:00"/>
    <n v="54"/>
    <n v="54"/>
    <m/>
    <s v="Entregado al area"/>
    <x v="1"/>
    <d v="2022-12-15T00:00:00"/>
    <m/>
    <d v="2022-12-14T00:00:00"/>
    <s v="Dec"/>
    <s v="Dec"/>
    <n v="14"/>
    <n v="14"/>
    <s v="G"/>
    <m/>
    <s v="200-AO-2457-2022"/>
    <d v="2022-12-09T00:00:00"/>
    <n v="1296491642"/>
    <s v="SONDA DE COLOMBIA S.A"/>
    <s v="AB230002979"/>
    <n v="200"/>
    <m/>
    <m/>
    <m/>
    <m/>
    <m/>
    <m/>
    <m/>
    <m/>
    <n v="1.5426244386657699E-7"/>
    <n v="0"/>
    <n v="1"/>
  </r>
  <r>
    <n v="597"/>
    <s v="0644"/>
    <s v="GUENE"/>
    <d v="2022-11-30T00:00:00"/>
    <x v="11"/>
    <s v="GE0260"/>
    <s v="FR-500-GE-0267-2022"/>
    <m/>
    <s v="Prestación de servicios de Silvicultura de árboles sembrados y seguimiento a epifitas vasculares en Subestación Ladera, cementerio La Aurora y predio La Olga"/>
    <n v="10770928"/>
    <m/>
    <s v="900-IP-0644-2022"/>
    <s v="IP-"/>
    <m/>
    <m/>
    <m/>
    <m/>
    <m/>
    <x v="2"/>
    <s v="JULIO ERNESTO GARCIA"/>
    <d v="2022-11-30T00:00:00"/>
    <e v="#VALUE!"/>
    <e v="#VALUE!"/>
    <m/>
    <s v="Devuelto"/>
    <x v="2"/>
    <d v="2022-12-22T00:00:00"/>
    <m/>
    <d v="2022-12-22T00:00:00"/>
    <m/>
    <s v="dic"/>
    <n v="22"/>
    <n v="22"/>
    <m/>
    <m/>
    <m/>
    <m/>
    <m/>
    <m/>
    <m/>
    <m/>
    <m/>
    <m/>
    <m/>
    <m/>
    <m/>
    <m/>
    <m/>
    <m/>
    <m/>
    <n v="1"/>
    <m/>
  </r>
  <r>
    <n v="598"/>
    <s v="0645"/>
    <s v="GAGHA"/>
    <d v="2022-11-01T00:00:00"/>
    <x v="11"/>
    <s v="GHA0292"/>
    <s v="FR-800-GHA-0185-2022"/>
    <m/>
    <s v="Realizar la compra de jabon liquido espumoso para el lavado de manos"/>
    <n v="200457042"/>
    <m/>
    <s v="900-IP-0645-2022"/>
    <s v="IP-"/>
    <m/>
    <m/>
    <m/>
    <m/>
    <m/>
    <x v="2"/>
    <s v="JHON LARRY CAICEDO"/>
    <d v="2022-12-01T00:00:00"/>
    <e v="#VALUE!"/>
    <e v="#VALUE!"/>
    <m/>
    <s v="Acta de terminacion anticipada por mutuo acuerdo "/>
    <x v="0"/>
    <d v="2022-12-30T00:00:00"/>
    <s v="ACTA DE TERMINACION POR MUTUO ACUERDO FIRMADA EL 29 DE DICIEMBRE DE 2022"/>
    <d v="2022-12-27T00:00:00"/>
    <m/>
    <s v="dic"/>
    <n v="56"/>
    <n v="26"/>
    <m/>
    <m/>
    <s v="800-AO-2493-2022"/>
    <d v="2022-12-23T00:00:00"/>
    <n v="198973950"/>
    <s v="MASUNION S.A.S"/>
    <s v="AB-2300003091"/>
    <n v="1483092"/>
    <m/>
    <m/>
    <m/>
    <m/>
    <m/>
    <m/>
    <m/>
    <m/>
    <m/>
    <n v="0"/>
    <m/>
  </r>
  <r>
    <n v="599"/>
    <s v="0646"/>
    <s v="GUENAA"/>
    <d v="2022-12-02T00:00:00"/>
    <x v="12"/>
    <s v="GAA0815"/>
    <s v="FR-300-GAA-0269-2022"/>
    <s v="300-CMA-1974-2020"/>
    <s v="Suministro de materiales de ferreteria asociados con la ejecución de acometidas de acueducto afines para EMCALI EICE ESP"/>
    <n v="2071953590"/>
    <m/>
    <s v="N/A"/>
    <s v=""/>
    <m/>
    <m/>
    <m/>
    <m/>
    <m/>
    <x v="1"/>
    <s v="LUCY AYDEE ARBELAEZ"/>
    <d v="2022-12-02T00:00:00"/>
    <n v="52"/>
    <n v="52"/>
    <m/>
    <s v="Entregado al area"/>
    <x v="1"/>
    <d v="2022-12-23T00:00:00"/>
    <m/>
    <d v="2022-12-29T00:00:00"/>
    <s v="Dec"/>
    <s v="Dec"/>
    <n v="27"/>
    <n v="27"/>
    <s v="N/A"/>
    <m/>
    <s v="CMA-1974-2020300-AO-2500-2022_x000a_CMA-1974-2020-300-AO-2499-2022"/>
    <d v="2022-12-23T00:00:00"/>
    <n v="2006742061"/>
    <s v="EQUIPOS Y HERRAMIENTAS INDUSTRIALES SAS_x000a_ALMACEN RODAFER SAS"/>
    <m/>
    <n v="65211529"/>
    <m/>
    <m/>
    <m/>
    <m/>
    <m/>
    <m/>
    <m/>
    <m/>
    <n v="3.1473450619132835E-2"/>
    <n v="1"/>
    <n v="0"/>
  </r>
  <r>
    <n v="600"/>
    <s v="0647"/>
    <s v="GTI"/>
    <d v="2022-12-02T00:00:00"/>
    <x v="12"/>
    <m/>
    <s v="FR-200-GTI-0123-2022"/>
    <m/>
    <s v="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
    <n v="2976031062"/>
    <m/>
    <m/>
    <m/>
    <m/>
    <m/>
    <m/>
    <m/>
    <m/>
    <x v="6"/>
    <m/>
    <m/>
    <m/>
    <m/>
    <m/>
    <m/>
    <x v="2"/>
    <m/>
    <m/>
    <m/>
    <m/>
    <m/>
    <m/>
    <m/>
    <m/>
    <m/>
    <m/>
    <m/>
    <m/>
    <m/>
    <m/>
    <m/>
    <m/>
    <m/>
    <m/>
    <m/>
    <m/>
    <m/>
    <m/>
    <m/>
    <m/>
    <n v="0"/>
    <m/>
  </r>
  <r>
    <n v="601"/>
    <s v="0649"/>
    <s v="GUENE"/>
    <d v="2022-12-06T00:00:00"/>
    <x v="12"/>
    <s v="PRECALIF"/>
    <s v="FR-500-GE-0280-2022"/>
    <m/>
    <s v="Lista de precalificados para el suministro de luminarias y proyectores led para modernizar el sistema de alumbrado publico de santiago de cali "/>
    <n v="0"/>
    <m/>
    <m/>
    <s v=""/>
    <m/>
    <m/>
    <m/>
    <m/>
    <m/>
    <x v="3"/>
    <s v="HAROLD MONDRAGON"/>
    <d v="2022-12-06T00:00:00"/>
    <e v="#VALUE!"/>
    <e v="#VALUE!"/>
    <m/>
    <s v="Cerrado"/>
    <x v="2"/>
    <d v="2022-12-09T00:00:00"/>
    <m/>
    <d v="2022-12-09T00:00:00"/>
    <m/>
    <s v="dic"/>
    <n v="3"/>
    <n v="3"/>
    <m/>
    <m/>
    <m/>
    <m/>
    <m/>
    <m/>
    <m/>
    <m/>
    <m/>
    <m/>
    <m/>
    <m/>
    <m/>
    <m/>
    <m/>
    <m/>
    <m/>
    <n v="1"/>
    <m/>
  </r>
  <r>
    <n v="602"/>
    <s v="0650"/>
    <s v="GAE"/>
    <d v="2022-12-09T00:00:00"/>
    <x v="12"/>
    <m/>
    <s v="FR-900-GAE-0063-2022"/>
    <m/>
    <s v="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
    <n v="198000000"/>
    <m/>
    <m/>
    <m/>
    <m/>
    <m/>
    <m/>
    <m/>
    <m/>
    <x v="6"/>
    <m/>
    <m/>
    <m/>
    <m/>
    <m/>
    <m/>
    <x v="2"/>
    <m/>
    <m/>
    <m/>
    <m/>
    <m/>
    <m/>
    <m/>
    <m/>
    <m/>
    <m/>
    <m/>
    <m/>
    <m/>
    <m/>
    <m/>
    <m/>
    <m/>
    <m/>
    <m/>
    <m/>
    <m/>
    <m/>
    <m/>
    <m/>
    <n v="0"/>
    <m/>
  </r>
  <r>
    <n v="603"/>
    <s v="0651"/>
    <s v="GUENTIC"/>
    <d v="2022-12-09T00:00:00"/>
    <x v="12"/>
    <s v="GT0259"/>
    <s v="FR-400-GT-0212-2022"/>
    <m/>
    <s v="Suministro e instalación de un sistema para monitorear variables del suelo y ambientales para cultivos urbanos y rurales, por medio de equipos y nodos sustentables con energías alternativas"/>
    <n v="49405696"/>
    <m/>
    <s v="900-IP-0651-2022"/>
    <s v="IP-"/>
    <m/>
    <m/>
    <m/>
    <m/>
    <m/>
    <x v="2"/>
    <s v="JULIO ERAZO"/>
    <d v="2022-12-12T00:00:00"/>
    <e v="#VALUE!"/>
    <e v="#VALUE!"/>
    <m/>
    <s v="Entregado al area"/>
    <x v="2"/>
    <d v="2022-12-29T00:00:00"/>
    <s v="REVISION FPA E INVITACION Y ESPERA DE CORREPCIÓN FICHA DE REQUERIMIENTO POR PARTE DEL ÁREA"/>
    <d v="2022-12-29T00:00:00"/>
    <m/>
    <s v="dic"/>
    <n v="20"/>
    <n v="17"/>
    <m/>
    <m/>
    <s v="400-AO-2492-2022"/>
    <d v="2022-12-23T00:00:00"/>
    <n v="49405426"/>
    <s v="DISTRIELECTRICOS MAVI S.A.S"/>
    <s v="PY-2270000352"/>
    <n v="270"/>
    <m/>
    <m/>
    <m/>
    <m/>
    <m/>
    <m/>
    <m/>
    <m/>
    <m/>
    <n v="0"/>
    <m/>
  </r>
  <r>
    <n v="604"/>
    <s v="0652"/>
    <s v="GUENE"/>
    <d v="2022-12-13T00:00:00"/>
    <x v="12"/>
    <s v="N/A"/>
    <s v="FR-500-GE-0281-2022"/>
    <m/>
    <s v="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
    <n v="0"/>
    <m/>
    <m/>
    <s v=""/>
    <m/>
    <m/>
    <m/>
    <m/>
    <m/>
    <x v="3"/>
    <s v="AYDEE OVALLE"/>
    <d v="2022-12-13T00:00:00"/>
    <e v="#VALUE!"/>
    <e v="#VALUE!"/>
    <m/>
    <s v="Revision CC Gae"/>
    <x v="2"/>
    <d v="2023-01-18T00:00:00"/>
    <m/>
    <m/>
    <m/>
    <s v=""/>
    <n v="-44908"/>
    <n v="-44908"/>
    <m/>
    <m/>
    <m/>
    <m/>
    <m/>
    <m/>
    <m/>
    <m/>
    <m/>
    <m/>
    <m/>
    <m/>
    <m/>
    <m/>
    <m/>
    <m/>
    <m/>
    <n v="1"/>
    <m/>
  </r>
  <r>
    <n v="605"/>
    <s v="0653"/>
    <s v="GUENAA"/>
    <d v="2022-12-14T00:00:00"/>
    <x v="12"/>
    <s v="GAA0817"/>
    <s v="FR-300-GAA-0270-2022"/>
    <s v="300-CMA-1974-2020"/>
    <s v="Suministro de Herramientas para la Unidad de Control Integral de Perdidas de Agua de la GUENAA"/>
    <n v="802858452"/>
    <m/>
    <m/>
    <s v=""/>
    <m/>
    <m/>
    <m/>
    <m/>
    <m/>
    <x v="3"/>
    <s v="LUCY AYDEE ARBELAEZ"/>
    <d v="2022-12-14T00:00:00"/>
    <e v="#VALUE!"/>
    <e v="#VALUE!"/>
    <m/>
    <s v="Entregado al area"/>
    <x v="2"/>
    <d v="2022-12-22T00:00:00"/>
    <m/>
    <d v="2022-12-29T00:00:00"/>
    <m/>
    <s v="dic"/>
    <n v="15"/>
    <n v="15"/>
    <m/>
    <m/>
    <s v="CMA-1974-2020-300-AO-2513-2022"/>
    <d v="2022-12-28T00:00:00"/>
    <n v="776330557"/>
    <s v="EQUIPOS Y HERRAMIENTAS INDUSTRIALES SAS."/>
    <m/>
    <n v="26527895"/>
    <m/>
    <m/>
    <m/>
    <m/>
    <m/>
    <m/>
    <m/>
    <m/>
    <m/>
    <n v="1"/>
    <m/>
  </r>
  <r>
    <n v="606"/>
    <s v="0654"/>
    <s v="GUENAA"/>
    <d v="2022-12-14T00:00:00"/>
    <x v="12"/>
    <n v="2022"/>
    <s v="FR-300-GAA-0271-2022"/>
    <s v="300-CMA-1974-2020"/>
    <s v="Suministro de Materiales de Ferreteria para la Unidad de Control Integral de Perdidas de Agua de la GUENNA"/>
    <n v="802858452"/>
    <m/>
    <m/>
    <s v=""/>
    <m/>
    <m/>
    <m/>
    <m/>
    <m/>
    <x v="1"/>
    <s v="LUCY AYDEE ARBELAEZ"/>
    <d v="2022-12-14T00:00:00"/>
    <e v="#VALUE!"/>
    <e v="#VALUE!"/>
    <m/>
    <s v="Devuelto"/>
    <x v="1"/>
    <d v="2022-12-22T00:00:00"/>
    <m/>
    <d v="2022-12-28T00:00:00"/>
    <s v="Dec"/>
    <s v="dic"/>
    <n v="14"/>
    <n v="14"/>
    <m/>
    <m/>
    <n v="1"/>
    <n v="44923"/>
    <n v="776330557"/>
    <s v="EQUIPOS Y HERRAMIENTAS INDUSTRIALES SAS."/>
    <m/>
    <n v="26527895"/>
    <m/>
    <m/>
    <m/>
    <m/>
    <m/>
    <m/>
    <m/>
    <m/>
    <m/>
    <n v="1"/>
    <m/>
  </r>
  <r>
    <n v="607"/>
    <s v="0655"/>
    <s v="GUENE"/>
    <d v="2022-12-20T00:00:00"/>
    <x v="12"/>
    <s v="PRECALIF"/>
    <s v="FR-500-GE-0282-2022"/>
    <m/>
    <s v="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
    <s v="N/A"/>
    <m/>
    <m/>
    <s v=""/>
    <m/>
    <m/>
    <m/>
    <m/>
    <m/>
    <x v="3"/>
    <m/>
    <m/>
    <e v="#VALUE!"/>
    <e v="#VALUE!"/>
    <m/>
    <m/>
    <x v="2"/>
    <m/>
    <m/>
    <m/>
    <m/>
    <s v=""/>
    <n v="-44915"/>
    <n v="0"/>
    <m/>
    <m/>
    <m/>
    <m/>
    <m/>
    <m/>
    <m/>
    <m/>
    <m/>
    <m/>
    <m/>
    <m/>
    <m/>
    <m/>
    <m/>
    <m/>
    <m/>
    <n v="1"/>
    <m/>
  </r>
  <r>
    <n v="608"/>
    <s v="0656"/>
    <s v="GUENAA"/>
    <d v="2022-12-27T00:00:00"/>
    <x v="12"/>
    <s v="PRECALIF"/>
    <s v="FR-300-GAA-0276-2022"/>
    <m/>
    <s v="Ejecutar las obras para la optimización de las redes de acueducto de los barrios Puerto Mallarino, Simon Bolivar, El Lido, Colseguros y Saavedra Galindo"/>
    <n v="9647132101"/>
    <m/>
    <m/>
    <s v=""/>
    <m/>
    <m/>
    <m/>
    <m/>
    <m/>
    <x v="3"/>
    <s v="HAROLD MONDRAGON"/>
    <m/>
    <e v="#VALUE!"/>
    <e v="#VALUE!"/>
    <m/>
    <s v="Cerrado"/>
    <x v="0"/>
    <m/>
    <m/>
    <m/>
    <m/>
    <s v=""/>
    <n v="-44922"/>
    <n v="0"/>
    <m/>
    <m/>
    <m/>
    <m/>
    <m/>
    <m/>
    <m/>
    <m/>
    <m/>
    <m/>
    <m/>
    <m/>
    <m/>
    <m/>
    <m/>
    <m/>
    <m/>
    <n v="1"/>
    <m/>
  </r>
  <r>
    <n v="609"/>
    <s v="0657"/>
    <s v="GUENAA"/>
    <d v="2022-12-27T00:00:00"/>
    <x v="12"/>
    <s v="PRECALIF"/>
    <s v="FR-300-GAA-0278-2022"/>
    <m/>
    <s v="Optimización del Funcionamiento hidraulico y estructural de la red secundaria de alcantarillado y la optimización de la red de acueducto en el barrio San Luis en Santiago de Cali"/>
    <n v="20412408515"/>
    <m/>
    <m/>
    <s v=""/>
    <m/>
    <m/>
    <m/>
    <m/>
    <m/>
    <x v="3"/>
    <s v="HAROLD MONDRAGON"/>
    <m/>
    <e v="#VALUE!"/>
    <e v="#VALUE!"/>
    <m/>
    <s v="Cerrado"/>
    <x v="0"/>
    <m/>
    <m/>
    <m/>
    <m/>
    <s v=""/>
    <n v="-44922"/>
    <n v="0"/>
    <m/>
    <m/>
    <m/>
    <m/>
    <m/>
    <m/>
    <m/>
    <m/>
    <m/>
    <m/>
    <m/>
    <m/>
    <m/>
    <m/>
    <m/>
    <m/>
    <m/>
    <n v="1"/>
    <m/>
  </r>
  <r>
    <n v="610"/>
    <s v="0658"/>
    <s v="GUENAA"/>
    <d v="2022-12-28T00:00:00"/>
    <x v="12"/>
    <s v="PRECALIF"/>
    <s v="FR-300-GAA-0278-2022"/>
    <m/>
    <s v="Optimización del Funcionamiento hidraulico y estructural de la red secundaria de alcantarillado y la optimización de la red de acueducto en el barrio San Luis en Santiago de Cali"/>
    <n v="20412408515"/>
    <m/>
    <m/>
    <s v=""/>
    <m/>
    <m/>
    <m/>
    <m/>
    <m/>
    <x v="0"/>
    <m/>
    <m/>
    <e v="#VALUE!"/>
    <e v="#VALUE!"/>
    <m/>
    <m/>
    <x v="3"/>
    <m/>
    <m/>
    <m/>
    <m/>
    <s v=""/>
    <n v="-44923"/>
    <n v="0"/>
    <m/>
    <m/>
    <m/>
    <m/>
    <m/>
    <m/>
    <m/>
    <m/>
    <m/>
    <m/>
    <m/>
    <m/>
    <m/>
    <m/>
    <m/>
    <m/>
    <m/>
    <n v="1"/>
    <m/>
  </r>
  <r>
    <n v="611"/>
    <s v="0659"/>
    <s v="GUENAA"/>
    <d v="2022-12-28T00:00:00"/>
    <x v="12"/>
    <s v="PRECALIF"/>
    <s v="FR-300-GAA-0276-2022"/>
    <m/>
    <s v="Ejecutar las obras para la Optimización de las redes de acueducto de los barrios Puerto Mallarino, Simon Bolivar, El Lido, Colseguros y Saavedra Galindo"/>
    <n v="9647132101"/>
    <m/>
    <m/>
    <s v=""/>
    <m/>
    <m/>
    <m/>
    <m/>
    <m/>
    <x v="0"/>
    <m/>
    <m/>
    <e v="#VALUE!"/>
    <e v="#VALUE!"/>
    <m/>
    <m/>
    <x v="3"/>
    <m/>
    <m/>
    <m/>
    <m/>
    <s v=""/>
    <n v="-44923"/>
    <n v="0"/>
    <m/>
    <m/>
    <m/>
    <m/>
    <m/>
    <m/>
    <m/>
    <m/>
    <m/>
    <m/>
    <m/>
    <m/>
    <m/>
    <m/>
    <m/>
    <m/>
    <m/>
    <n v="1"/>
    <m/>
  </r>
  <r>
    <n v="612"/>
    <s v="0660"/>
    <s v="GUENAA"/>
    <d v="2022-12-29T00:00:00"/>
    <x v="12"/>
    <s v="PRECALIF"/>
    <s v="FR-300-GAA-0277-2022"/>
    <m/>
    <s v="Realizar la Interventoria tecnica, administrativa, financiera y legal del contrato que surja del proceso cuyo objeto es realizar la construcción para la optimización de las redes de acueducto en los barrios Puerto Mallarino, Simon Bolivar, El Lido,  Colseguros, Saavedra Galindo"/>
    <n v="663117980"/>
    <m/>
    <m/>
    <s v=""/>
    <m/>
    <m/>
    <m/>
    <m/>
    <m/>
    <x v="0"/>
    <m/>
    <m/>
    <e v="#VALUE!"/>
    <e v="#VALUE!"/>
    <m/>
    <m/>
    <x v="3"/>
    <m/>
    <m/>
    <m/>
    <m/>
    <s v=""/>
    <n v="-44924"/>
    <n v="0"/>
    <m/>
    <m/>
    <m/>
    <m/>
    <m/>
    <m/>
    <m/>
    <m/>
    <m/>
    <m/>
    <m/>
    <m/>
    <m/>
    <m/>
    <m/>
    <m/>
    <m/>
    <n v="1"/>
    <m/>
  </r>
  <r>
    <n v="613"/>
    <s v="0661"/>
    <s v="GUENAA"/>
    <d v="2022-12-29T00:00:00"/>
    <x v="12"/>
    <s v="PRECALIF"/>
    <s v="FR-300-GAA-0279-2022"/>
    <m/>
    <s v="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n v="1477364678"/>
    <m/>
    <m/>
    <m/>
    <m/>
    <m/>
    <m/>
    <m/>
    <m/>
    <x v="0"/>
    <m/>
    <m/>
    <e v="#VALUE!"/>
    <e v="#VALUE!"/>
    <m/>
    <m/>
    <x v="3"/>
    <m/>
    <m/>
    <m/>
    <m/>
    <s v=""/>
    <n v="-44924"/>
    <n v="0"/>
    <m/>
    <m/>
    <m/>
    <m/>
    <m/>
    <m/>
    <m/>
    <m/>
    <m/>
    <m/>
    <m/>
    <m/>
    <m/>
    <m/>
    <m/>
    <m/>
    <m/>
    <n v="1"/>
    <m/>
  </r>
  <r>
    <n v="614"/>
    <s v="0662"/>
    <s v="GUENAA"/>
    <d v="2022-12-29T00:00:00"/>
    <x v="12"/>
    <s v="GAA0811_x000a_GAA0810"/>
    <s v="FR-300-GAA-0250-2022_x000a_FR-300-GAA-0249-2022"/>
    <s v="300-CMA-1242-2020"/>
    <s v="Suministrar Polímero ayudante de floculación para ser utilizado en el tratamiento de las aguas residuales en la PTAR C."/>
    <n v="2054746605"/>
    <m/>
    <s v="N/A"/>
    <m/>
    <s v="AB1120002845"/>
    <m/>
    <m/>
    <m/>
    <m/>
    <x v="1"/>
    <s v="AYDEE OVALLE"/>
    <d v="2022-09-12T00:00:00"/>
    <n v="133"/>
    <n v="133"/>
    <m/>
    <s v="Entregado al area"/>
    <x v="1"/>
    <m/>
    <m/>
    <d v="2022-12-30T00:00:00"/>
    <s v="Dec"/>
    <s v="Dec"/>
    <n v="109"/>
    <n v="109"/>
    <s v="N/A"/>
    <m/>
    <s v="CMA-1242-2022-300-AO-2497-2022"/>
    <d v="2022-12-23T00:00:00"/>
    <n v="2054746605"/>
    <s v="SNF COLOMBIA S.A.S"/>
    <s v="AB-2300003085"/>
    <n v="0"/>
    <m/>
    <m/>
    <m/>
    <m/>
    <m/>
    <m/>
    <m/>
    <m/>
    <n v="0"/>
    <n v="1"/>
    <n v="0"/>
  </r>
</pivotCacheRecords>
</file>

<file path=xl/pivotCache/pivotCacheRecords4.xml><?xml version="1.0" encoding="utf-8"?>
<pivotCacheRecords xmlns="http://schemas.openxmlformats.org/spreadsheetml/2006/main" xmlns:r="http://schemas.openxmlformats.org/officeDocument/2006/relationships" count="628">
  <r>
    <n v="1"/>
    <s v="0371"/>
    <x v="0"/>
    <d v="2021-07-08T00:00:00"/>
    <x v="0"/>
    <s v="N/A"/>
    <s v="FR-400-GT-0163-2021"/>
    <s v="N/A"/>
    <s v="Suministro de terminales ópticos ONT para la instalación de servicios en los clientes a través de la expansión de proyectos de FTTH (Fibra hasta la Casa) de EMCALI."/>
    <s v="N/A"/>
    <s v="2 años"/>
    <s v="900-IPU-0385-2021"/>
    <m/>
    <s v="N/A"/>
    <s v="N/A"/>
    <s v="N/A"/>
    <s v="N/A"/>
    <s v="N/A"/>
    <x v="0"/>
    <s v="AYDEE OVALLE"/>
    <d v="2021-07-15T00:00:00"/>
    <e v="#VALUE!"/>
    <e v="#VALUE!"/>
    <s v="NO"/>
    <s v="Cerrado"/>
    <x v="0"/>
    <s v="28 de julio elaoracion de la IM_x000a_24 DE AGOSTO EN REVISION DE LA CC POR EL COORDINADOR GAE_x000a_29 DE SEPTIEMBRE EN RECEPCION DE OFERTAS_x000a_2 de noviembre 'Evaluación de propuestas y homologación de muestras hasta el 04 NOV 2021._x000a_9 de noviembre en evaluacion sobre 1 y muestras_x000a_2 de diciembre a la espera del informe fina de evaluacion_x000a_31 de diciembre en respuesta en observaciones_x000a_21 de enerero este proceso se va a cerrar se espera el informe de evaluacion._x000a_"/>
    <m/>
    <m/>
    <x v="0"/>
    <m/>
    <n v="-44385"/>
    <n v="-44392"/>
    <x v="0"/>
    <s v="INVERSION"/>
    <x v="0"/>
    <m/>
    <m/>
    <m/>
    <m/>
    <m/>
    <m/>
    <m/>
    <s v="N/A"/>
    <s v="N/A"/>
    <m/>
    <m/>
    <m/>
    <m/>
    <n v="0"/>
    <x v="0"/>
    <n v="2"/>
    <n v="0"/>
  </r>
  <r>
    <n v="2"/>
    <s v="0513"/>
    <x v="1"/>
    <d v="2021-09-29T00:00:00"/>
    <x v="0"/>
    <s v="GE0435"/>
    <s v="FR-500-GE-0222-2021"/>
    <s v="N/A"/>
    <s v="Suministro, instalación, pruebas y puesta en servicio de una infraestructura de medición avanzada AMI y del centro de gestión de la medida (CGM) en la zona de influencia de Energía de EMCALI, de acuerdo con especificaciones técnicas Anexas."/>
    <n v="216455020493"/>
    <s v="31 de diciembre 2028"/>
    <s v="900-IPU-0491-2021"/>
    <m/>
    <s v="N/A"/>
    <s v="N/A"/>
    <n v="202100035"/>
    <s v="N/A"/>
    <s v="Mayor cuantia"/>
    <x v="0"/>
    <s v="HAROLD MONDRAGON"/>
    <d v="2021-09-30T00:00:00"/>
    <n v="350"/>
    <n v="349"/>
    <s v="SI"/>
    <s v="Entregado al area"/>
    <x v="1"/>
    <s v="12 de octubre en elaboracion de la fpa y cc y esperando la modificacion de la ficha de requerimiento_x000a_29 DE OCTUBRE EN REVISION DE LA FPA _x000a_2 de noviembre en revision de lq cc en la Gae_x000a_9 de Noviembre en estructuracion de la CC con juridica_x000a_17 DE DICIEMBRE SE RECIBEN OFERTAS EL 23 DE DICIEMBRE_x000a_18 DE ENERO SE AMPLIA LA SUSPENCION HASTA EL 28 DE FEBRERO_x000a_23 de marzo pendiente de las modificacions del area_x000a_31 DE MARZO SE ADENDA PARA RECIBIR OFERTAS EL 18 DE ABRIL20 DE ABRIL SE RECEOBEN OFERTAS EL 27 DE ABRIL_x000a_5 DE MAYO EN RECEPCION DE SUBSANABLES_x000a_17 de mayo en evaluacion sobre 2_x000a_24 DE MAYO EVALUACION SOBRE 2_x000a_9 de junio en adjudicacion y revision de minuta._x000a_17 DE JUNIO A LA ESPERA DEL NIT DEL CONSORCIO_x000a_30 DE JUNIO RESPONDIENDO LO DE LAS MINUTAS_x000a_18 de julio esperando firma del gerene general de la minuta_x000a_1 de agosto en aprobacion de polizas. 5 DE AGOSTO PENDIENTE DEL PAGO DE LAS POLIZAS POR PARTE DEL PROVEEDOR"/>
    <m/>
    <d v="2022-08-24T00:00:00"/>
    <x v="1"/>
    <m/>
    <n v="329"/>
    <n v="328"/>
    <x v="0"/>
    <s v="INVERSION"/>
    <x v="1"/>
    <d v="2022-07-21T00:00:00"/>
    <n v="215879358926"/>
    <s v="UNION TEMPORAL AMI"/>
    <m/>
    <n v="575661567"/>
    <m/>
    <m/>
    <m/>
    <m/>
    <m/>
    <s v="CALI"/>
    <s v="LOCAL"/>
    <m/>
    <n v="2.6594974128521841E-3"/>
    <x v="0"/>
    <n v="2"/>
    <n v="186"/>
  </r>
  <r>
    <n v="3"/>
    <s v="0553"/>
    <x v="1"/>
    <d v="2021-10-22T00:00:00"/>
    <x v="0"/>
    <s v="GE0439"/>
    <s v="FR-500-GE-0234-2021"/>
    <s v="N/A"/>
    <s v="Diseñar, construir y poner en operación técnica y comercial la subestación arroyondo 115/ 34,5/ 13,2 kV, del tipo GIS interior, la línea asociada doble circuito a 115 KV entre las subestaciones arroyohondo y Termoyumbo, las bahías respectivas a 115 kV en las subestaciones Termoyumbo y Arroyohondo, de acuerdo con el plazo y las especificaciones técnicas definidas por EMCALI."/>
    <n v="75000000000"/>
    <s v="31 de diciembre 2023"/>
    <s v="900-IPU-0522-2021"/>
    <m/>
    <m/>
    <m/>
    <m/>
    <m/>
    <m/>
    <x v="0"/>
    <s v="JUAN PABLO QUIMBAYO"/>
    <d v="2021-10-25T00:00:00"/>
    <m/>
    <m/>
    <m/>
    <s v="Entregado al area"/>
    <x v="1"/>
    <s v="2 de noviembre en elaboracion de fpa y cc_x000a_9 de noviembre en elaboracion de la fpa y cc_x000a_17 DE DICIEMBRE EN EVALAUCION DE SUBSANABLES_x000a_24 DE ENERO EN APROBACION DE POLIZAS DESDE EL 20 DE ENERO."/>
    <m/>
    <d v="2022-01-27T00:00:00"/>
    <x v="2"/>
    <m/>
    <n v="97"/>
    <n v="94"/>
    <x v="0"/>
    <s v="FUNCIONAMIENTO"/>
    <x v="2"/>
    <d v="2022-01-14T00:00:00"/>
    <n v="74954422758"/>
    <s v="PROYECTOS DE INGENIERIA SA -PROING SA"/>
    <m/>
    <n v="45577242"/>
    <m/>
    <m/>
    <s v="N/A"/>
    <s v="N/A"/>
    <m/>
    <s v="CALI"/>
    <s v="LOCAL"/>
    <m/>
    <n v="6.0769655999999995E-4"/>
    <x v="0"/>
    <n v="2"/>
    <n v="97"/>
  </r>
  <r>
    <n v="4"/>
    <s v="0560"/>
    <x v="1"/>
    <d v="2021-10-26T00:00:00"/>
    <x v="0"/>
    <s v="GE0440"/>
    <s v="FR-500-GE-0238-2021"/>
    <s v="N/A"/>
    <s v="Diseño, construcción y puesta en operación técnica y comercial de una bahía de transformación en el nivel de tensión 115 Kv configuración deble barra convencional, un transformador KNAF de 41,75 MVA 115/13,2 Kv, la conexión a un barraje doble metalclad en 13,2 kV, dos bahías de acople y seis salidas de circuito en la Subestación Meléndez, incluyendo la ingeniería básica, de detalle, los trámites de licencias, permisos y trámites necesarios, todo de acuerdo con especificaciones técnicas Anexas."/>
    <n v="24000000000"/>
    <s v="31 de diciembre 2023"/>
    <s v="900-IPU-0523-2021"/>
    <m/>
    <n v="202200111"/>
    <n v="12000000000"/>
    <n v="202100097"/>
    <n v="24000000000"/>
    <s v="Mayor cuantia"/>
    <x v="0"/>
    <s v="JUAN PABLO QUIMBAYO"/>
    <d v="2021-10-27T00:00:00"/>
    <e v="#REF!"/>
    <e v="#REF!"/>
    <s v="SI"/>
    <s v="Entregado al area"/>
    <x v="1"/>
    <s v="2 de noviembre en elaboracion de fpa y cc_x000a_9 de noviembre en elaboracion de la fpa y cc_x000a_17 DE DICIEMBRE EN EVALUACION SOBRE 1_x000a_18 DE ENERO SE AMPLIA LA SUSPENCION HASTA EL 28 DE FEBRERO_x000a_23 de marzo en rp en polizas_x000a_31 DE MARZO A LA ESPERA DE LAS POLIZAS POR PARTE DEL PROVEEDOR_x000a_7 DE ABRIL ENTREGADO AL AREA"/>
    <m/>
    <d v="2022-04-07T00:00:00"/>
    <x v="3"/>
    <m/>
    <n v="163"/>
    <n v="162"/>
    <x v="0"/>
    <s v="INVERSION"/>
    <x v="3"/>
    <d v="2022-04-07T00:00:00"/>
    <n v="23666032488"/>
    <s v="CONSORCIO SB MELENDEZ 115"/>
    <m/>
    <n v="333967512"/>
    <m/>
    <m/>
    <s v="N/A"/>
    <s v="N/A"/>
    <m/>
    <s v="CALI"/>
    <s v="LOCAL"/>
    <m/>
    <n v="1.3915313E-2"/>
    <x v="0"/>
    <n v="2"/>
    <n v="101"/>
  </r>
  <r>
    <n v="5"/>
    <s v="0567"/>
    <x v="1"/>
    <d v="2021-10-27T00:00:00"/>
    <x v="0"/>
    <s v="GE0441"/>
    <s v="FR-500-GE-0235-2021"/>
    <s v="N/A"/>
    <s v="Ampliación de infraestructura eléctrica, instalación de cable ecológico y reconfiguración de algunos tramos de los Circuitos de la Subestación Sur, para realizar nuevos circuitos."/>
    <n v="12106938145"/>
    <s v="a partir de la firma  sin exceder  el 31 de diciembre de 2022"/>
    <s v="900-IPU-0530-2021"/>
    <m/>
    <n v="202201349"/>
    <n v="12106938145"/>
    <s v="N/A"/>
    <s v="N/A"/>
    <s v="Mayor cuantia"/>
    <x v="0"/>
    <s v="HAROLD MONDRAGON"/>
    <d v="2021-10-28T00:00:00"/>
    <e v="#REF!"/>
    <e v="#REF!"/>
    <s v="SI"/>
    <s v="Entregado al area"/>
    <x v="1"/>
    <s v="2 de noviembre en elaboracion de fpa e invitacion_x000a_9 de noviembre en revision de la CC por por parte del gerente jorge_x000a_4 DE ENERO SE ADENDO PARA PBLICAR RESPUESTA OBSERVACIONES EL JUEVES 6 DE ENERO.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x v="0"/>
    <s v="FUNCIONAMIENTO"/>
    <x v="4"/>
    <d v="2022-03-23T00:00:00"/>
    <n v="12106938145"/>
    <s v="DELTEC SA"/>
    <m/>
    <n v="0"/>
    <m/>
    <m/>
    <s v="N/A"/>
    <s v="N/A"/>
    <m/>
    <s v="CALI"/>
    <s v="LOCAL"/>
    <m/>
    <n v="0"/>
    <x v="0"/>
    <n v="2"/>
    <n v="90"/>
  </r>
  <r>
    <n v="6"/>
    <s v="0568"/>
    <x v="1"/>
    <d v="2021-10-27T00:00:00"/>
    <x v="0"/>
    <s v="GE0442"/>
    <s v="FR-500-GE-0236-2021"/>
    <s v="N/A"/>
    <s v="Ampliación de infraestructura eléctrica, instalación de cable ecológico y reconfiguración de algunos tramos de los Circuitos de la Subestación DIESEL II, para realizar nuevos circuitos."/>
    <n v="8071743039"/>
    <s v="11,5 meses  sin exceder  el 31 de diciembre de 2022"/>
    <s v="900-IPU-0535-2021"/>
    <m/>
    <s v="N/A"/>
    <s v="N/A"/>
    <s v="N/A"/>
    <s v="N/A"/>
    <s v="Mayor cuantia"/>
    <x v="0"/>
    <s v="HAROLD MONDRAGON"/>
    <d v="2021-10-28T00:00:00"/>
    <e v="#VALUE!"/>
    <e v="#VALUE!"/>
    <s v="NO"/>
    <s v="Cerrado"/>
    <x v="0"/>
    <s v="2 de noviembre en elaboracion de fpa e invitacion_x000a_9 de noviembre en revision de la CC por por parte del gerente jorge_x000a_4 DE ENERO SE ADENDO PARA PBLICAR RESPUESTA OBSERVACIONES EL JUEVES 6 DE ENERO._x000a_4 DE ENERO SE ADENDO PARA PBLICAR RESPUESTA OBSERVACIONES EL JUEVES 6 DE ENERO._x000a_jUEVES 13 DE ENERO SE CIERRA POR TEMAS PRESUPUESTALES Y SE INICIARA UN NUEVO PROCESO._x000a_"/>
    <m/>
    <m/>
    <x v="0"/>
    <m/>
    <n v="-44496"/>
    <n v="-44497"/>
    <x v="0"/>
    <s v="FUNCIONAMIENTO"/>
    <x v="0"/>
    <m/>
    <m/>
    <m/>
    <m/>
    <m/>
    <m/>
    <m/>
    <m/>
    <m/>
    <m/>
    <m/>
    <m/>
    <m/>
    <n v="0"/>
    <x v="0"/>
    <n v="2"/>
    <n v="0"/>
  </r>
  <r>
    <n v="7"/>
    <s v="0569"/>
    <x v="1"/>
    <d v="2021-10-27T00:00:00"/>
    <x v="0"/>
    <s v="GE0443"/>
    <s v="FR-500-GE-0237-2021"/>
    <s v="N/A"/>
    <s v="Ampliación de infraestructura eléctrica, instalación de cable ecológico y reconfiguración de algunos tramos de los Circuitos de la Subestación LADERA 115KV, para realizar nuevos circuitos."/>
    <n v="4898840314"/>
    <s v="9 meses sin exceder el 31 de diciembre de 2022"/>
    <s v="900-IPU-0536-2021"/>
    <m/>
    <s v="N/A"/>
    <n v="4931901032"/>
    <s v="N/A"/>
    <s v="N/A"/>
    <s v="Mayor cuantia"/>
    <x v="0"/>
    <s v="HAROLD MONDRAGON"/>
    <d v="2021-10-28T00:00:00"/>
    <e v="#REF!"/>
    <e v="#REF!"/>
    <s v="SI"/>
    <s v="Entregado al area"/>
    <x v="1"/>
    <s v="2 de noviembre en elaboracion de fpa e invitacion_x000a_9 de noviembre en revision de la CC por por parte del gerente jorge_x000a_18 DE ENERO EN RECEPCION DE OFERTAS_x000a_21 de enero en se adendo para solicitar  subasanbles el dia 25 de enero_x000a_2 de feberero solicitud de subsanables_x000a_23 de marzo en acta de adjudicacion_x000a_31 DE MARZO ALA ESPERA DE LAS POLIZAS POR PARTE DEL PROVEEDOR _x000a_18 de abril entregado al area"/>
    <m/>
    <d v="2022-04-18T00:00:00"/>
    <x v="3"/>
    <m/>
    <n v="173"/>
    <n v="172"/>
    <x v="0"/>
    <s v="FUNCIONAMIENTO"/>
    <x v="5"/>
    <d v="2022-03-23T00:00:00"/>
    <n v="4898840314"/>
    <s v="DELTEC SA"/>
    <m/>
    <n v="0"/>
    <m/>
    <m/>
    <s v="N/A"/>
    <s v="N/A"/>
    <m/>
    <s v="CALI"/>
    <s v="LOCAL"/>
    <m/>
    <n v="0"/>
    <x v="0"/>
    <n v="2"/>
    <n v="90"/>
  </r>
  <r>
    <n v="8"/>
    <s v="0590"/>
    <x v="2"/>
    <d v="2021-11-08T00:00:00"/>
    <x v="0"/>
    <s v="GAA1312"/>
    <s v="FR-300-GAA-0258-2021"/>
    <s v="N/A"/>
    <s v="Rehabilitar los componentes priorizados de las estructuras de Captación y Pretratamiento de la PTAP Río Cali."/>
    <n v="936000000"/>
    <s v="365 dias"/>
    <s v="900-IPU-0556-2021"/>
    <m/>
    <s v="N/A"/>
    <s v="N/A"/>
    <s v="108-202100108"/>
    <m/>
    <s v="Mayor cuantia"/>
    <x v="0"/>
    <s v="PABLO CAICEDO"/>
    <d v="2021-11-09T00:00:00"/>
    <e v="#VALUE!"/>
    <e v="#VALUE!"/>
    <s v="NO"/>
    <s v="Cerrado"/>
    <x v="0"/>
    <s v="30 de diciembre se publico_x000a_21 de enero se encuentra suspendido a la espera del tramite de la vigencia futura y presupuesto"/>
    <m/>
    <m/>
    <x v="0"/>
    <m/>
    <n v="-44508"/>
    <n v="-44509"/>
    <x v="0"/>
    <s v="INVERSION"/>
    <x v="0"/>
    <m/>
    <m/>
    <m/>
    <m/>
    <m/>
    <m/>
    <m/>
    <m/>
    <m/>
    <m/>
    <m/>
    <m/>
    <m/>
    <n v="0"/>
    <x v="0"/>
    <n v="2"/>
    <n v="0"/>
  </r>
  <r>
    <n v="9"/>
    <s v="0618"/>
    <x v="2"/>
    <d v="2021-11-18T00:00:00"/>
    <x v="0"/>
    <s v="N/A"/>
    <s v="FR-300-GAA-0266-2021"/>
    <s v="N/A"/>
    <s v="Interventoría para el suministro, montaje, instalación, pruebas, calibración y puesta en funcionamiento de equipos, elementos y demás infraestructura requerida para la estación de bombeo de paso del comercio iv."/>
    <n v="5463152996"/>
    <s v="27 MESES"/>
    <s v="900-IPU-0682-2021"/>
    <m/>
    <s v="CDR0003830"/>
    <n v="5466000000"/>
    <m/>
    <m/>
    <s v="Mayor cuantia"/>
    <x v="0"/>
    <s v="VIAGNERY LOPEZ"/>
    <d v="2021-11-22T00:00:00"/>
    <e v="#VALUE!"/>
    <e v="#VALUE!"/>
    <s v="NO"/>
    <s v="Devuelto"/>
    <x v="2"/>
    <s v="1 DE DICIEMBRE ESPERANDO INFORMACION DEL AREA"/>
    <m/>
    <d v="2022-01-14T00:00:00"/>
    <x v="4"/>
    <m/>
    <n v="57"/>
    <n v="53"/>
    <x v="0"/>
    <s v="INVERSION"/>
    <x v="0"/>
    <m/>
    <m/>
    <m/>
    <m/>
    <m/>
    <m/>
    <m/>
    <m/>
    <m/>
    <m/>
    <m/>
    <m/>
    <m/>
    <n v="0"/>
    <x v="0"/>
    <n v="2"/>
    <n v="0"/>
  </r>
  <r>
    <n v="10"/>
    <s v="0619"/>
    <x v="2"/>
    <d v="2021-11-18T00:00:00"/>
    <x v="0"/>
    <s v="N/A"/>
    <s v="FR-300-GAA-0265-2021"/>
    <s v="N/A"/>
    <s v="Optimización de la estación de bombeo de aguas lluvias paso del comercio - paso iv."/>
    <n v="72536381728"/>
    <s v="23 MESES"/>
    <s v="900-IPU-0584-2021"/>
    <m/>
    <s v="N/A"/>
    <n v="0"/>
    <n v="202100042"/>
    <n v="72536381728"/>
    <s v="Mayor cuantia"/>
    <x v="0"/>
    <s v="VIAGNERY LOPEZ"/>
    <d v="2021-11-22T00:00:00"/>
    <e v="#VALUE!"/>
    <e v="#VALUE!"/>
    <s v="NO"/>
    <s v="Devuelto"/>
    <x v="2"/>
    <s v="1 DE DICIEMBRE ESPERANDO INFORMACION DEL AREA_x000a_SE DEVUELVE PORQUE ES NECESARIO TENER VIGENCIA EXCEPCIONALES"/>
    <m/>
    <d v="2022-01-14T00:00:00"/>
    <x v="4"/>
    <m/>
    <n v="57"/>
    <n v="53"/>
    <x v="0"/>
    <s v="INVERSION"/>
    <x v="0"/>
    <m/>
    <m/>
    <m/>
    <m/>
    <m/>
    <m/>
    <m/>
    <m/>
    <m/>
    <m/>
    <m/>
    <m/>
    <m/>
    <n v="0"/>
    <x v="0"/>
    <n v="2"/>
    <n v="0"/>
  </r>
  <r>
    <n v="11"/>
    <s v="0636"/>
    <x v="1"/>
    <d v="2021-11-30T00:00:00"/>
    <x v="0"/>
    <s v="GE0444"/>
    <s v="FR-500-GE-0258-2021"/>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0376838023"/>
    <s v="31 DE DICIEMBRE 2022"/>
    <s v="N/A"/>
    <m/>
    <n v="202100077"/>
    <n v="35000000"/>
    <s v="108-202100077"/>
    <s v="N/A"/>
    <s v="N/A"/>
    <x v="1"/>
    <s v="ESTEFANIA SANCHEZ"/>
    <d v="2021-11-29T00:00:00"/>
    <e v="#VALUE!"/>
    <e v="#VALUE!"/>
    <s v="NO "/>
    <s v="Devuelto"/>
    <x v="2"/>
    <s v="21 DE ENERO SE TOMA LA DECSION DE DEVOLVERLO PORQUE NO LLEGO EL CDP"/>
    <m/>
    <m/>
    <x v="0"/>
    <m/>
    <n v="-44530"/>
    <n v="-44529"/>
    <x v="0"/>
    <s v="INVERSION"/>
    <x v="0"/>
    <m/>
    <m/>
    <m/>
    <m/>
    <m/>
    <m/>
    <m/>
    <m/>
    <m/>
    <m/>
    <m/>
    <m/>
    <m/>
    <n v="0"/>
    <x v="0"/>
    <n v="0"/>
    <n v="0"/>
  </r>
  <r>
    <n v="12"/>
    <s v="0637"/>
    <x v="1"/>
    <d v="2021-11-30T00:00:00"/>
    <x v="0"/>
    <s v="N/A"/>
    <s v="FR-500-GE-0256-2021"/>
    <s v="N/A"/>
    <s v="Contrato marco para suministro DDP de transformadores eléctricos de distribución con transformadores de corriente (TC) incluidos, exceptuando los transformadores ocacionalmente sumergibles."/>
    <s v="N/A"/>
    <s v="2 años"/>
    <s v="900-IPU-0601-2021"/>
    <m/>
    <s v="N/A"/>
    <s v="N/A"/>
    <s v="N/A"/>
    <s v="N/A"/>
    <s v="N/A"/>
    <x v="1"/>
    <s v="ESTEFANIA SANCHEZ"/>
    <d v="2021-11-29T00:00:00"/>
    <e v="#VALUE!"/>
    <e v="#VALUE!"/>
    <m/>
    <s v="Aprobacion de polizas"/>
    <x v="0"/>
    <s v="21 DE ENERO CONTINUA EN ELABORACION DE LA FPA PORQUE EL AREA SE LE HAN SOLCIITADO VARIAS MODIFICACIOENS EN LAS FICHAS DE REQUERIMIENTOS_x000a_26 DE ENERO EN REVISION DE LA FPA E INVITACION_x000a_06 de mayo en recepcion de ofertas, se reciben el 11  de mayo_x000a_23 DE MAYO EN EVALUACION SOBRE 1_x000a_9 de junio en evaluacion_x000a_30 de junio esperando informe de evaluacion tecnica"/>
    <m/>
    <m/>
    <x v="0"/>
    <m/>
    <n v="-44530"/>
    <n v="-44529"/>
    <x v="0"/>
    <s v="INVERSION"/>
    <x v="0"/>
    <m/>
    <m/>
    <m/>
    <m/>
    <m/>
    <m/>
    <m/>
    <m/>
    <m/>
    <m/>
    <m/>
    <m/>
    <m/>
    <n v="0"/>
    <x v="0"/>
    <n v="0"/>
    <n v="0"/>
  </r>
  <r>
    <n v="13"/>
    <s v="0648"/>
    <x v="2"/>
    <d v="2021-12-13T00:00:00"/>
    <x v="0"/>
    <s v="GAA1321"/>
    <s v="FR-300-GAA-0271-2021"/>
    <s v="N/A"/>
    <s v="Obras civiles y mecánicas para construcción muro de concreto y optimización descarga estación de bombeo Guaduales."/>
    <n v="4543796519"/>
    <m/>
    <s v="N/A"/>
    <m/>
    <m/>
    <m/>
    <s v="108-202100058_x000a_EXCEPCIONAL"/>
    <m/>
    <s v="N/A"/>
    <x v="2"/>
    <s v="VIAGNERY LOPEZ"/>
    <d v="2022-01-04T00:00:00"/>
    <e v="#VALUE!"/>
    <e v="#VALUE!"/>
    <s v="NO"/>
    <s v="Devuelto"/>
    <x v="2"/>
    <m/>
    <m/>
    <d v="2022-01-14T00:00:00"/>
    <x v="4"/>
    <m/>
    <n v="32"/>
    <n v="10"/>
    <x v="1"/>
    <s v="INVERSION"/>
    <x v="0"/>
    <m/>
    <m/>
    <m/>
    <m/>
    <m/>
    <m/>
    <m/>
    <m/>
    <m/>
    <m/>
    <m/>
    <m/>
    <m/>
    <n v="0"/>
    <x v="0"/>
    <n v="1"/>
    <n v="0"/>
  </r>
  <r>
    <n v="14"/>
    <s v="0649"/>
    <x v="2"/>
    <d v="2021-12-13T00:00:00"/>
    <x v="0"/>
    <s v="NO TRAE ITEM PACC PORQUE NO SON RECURSOS DE EMCALI"/>
    <s v="FR-300-GAA-0272-2021"/>
    <s v="N/A"/>
    <s v="Realizar la interventoría tecnica, administrativa, financiera y legal del contrato que surja del proceso, cuyo objeto es realizar la construcción de las obras civiles y mecánicas para construcción de muro de concreto, y optimización descarga estación de bombeo Guaduales."/>
    <n v="623505255"/>
    <m/>
    <s v="N/A"/>
    <m/>
    <s v="N/A"/>
    <m/>
    <s v="N/A"/>
    <s v="N/A"/>
    <s v="N/A"/>
    <x v="2"/>
    <s v="VIAGNERY LOPEZ"/>
    <m/>
    <e v="#VALUE!"/>
    <e v="#VALUE!"/>
    <s v=" NO"/>
    <s v="Devuelto"/>
    <x v="2"/>
    <m/>
    <m/>
    <d v="2022-01-14T00:00:00"/>
    <x v="4"/>
    <m/>
    <n v="32"/>
    <n v="44575"/>
    <x v="1"/>
    <s v="INVERSION"/>
    <x v="0"/>
    <m/>
    <m/>
    <m/>
    <m/>
    <m/>
    <m/>
    <m/>
    <s v="N/A"/>
    <s v="N/A"/>
    <m/>
    <m/>
    <m/>
    <m/>
    <n v="0"/>
    <x v="0"/>
    <n v="1"/>
    <n v="0"/>
  </r>
  <r>
    <n v="15"/>
    <s v="0653"/>
    <x v="2"/>
    <d v="2021-11-25T00:00:00"/>
    <x v="0"/>
    <s v="N/A"/>
    <s v="FR-300-GAA-0268-2021"/>
    <s v="N/A"/>
    <s v="Contrato Marco para el suministro de Alcalinizante para las plantas de tratamiento de AguaPotable de la Unidad de Producción de Agua Potable de EMCALI EICE ESP: CAL VIVA"/>
    <s v="N/A"/>
    <s v="2 años"/>
    <s v="900-IPU-0588-2021"/>
    <m/>
    <s v="N/A"/>
    <s v="N/A"/>
    <s v="N/A"/>
    <s v="N/A"/>
    <s v="N/A"/>
    <x v="0"/>
    <s v="AYDEE OVALLE"/>
    <d v="2021-11-25T00:00:00"/>
    <e v="#REF!"/>
    <e v="#REF!"/>
    <s v="SI"/>
    <s v="Entregado al area"/>
    <x v="1"/>
    <s v="21 de enero en recepcion de ofertas_x000a_24 de enero en evaluacion dobre 1_x000a_2 de febrero esperando comité_x000a_23 de marzo en firma de la minuta. Se demoro porque se cambio el representante legal_x000a_31 de marzo en numeracion del contrato_x000a_5 de abril en espera de las polizas por parte del proveedor _x000a_19 de abril en solicitud de polizas_x000a_23 DE ABRIL ENTREGADO AL AREA"/>
    <m/>
    <d v="2022-04-23T00:00:00"/>
    <x v="3"/>
    <m/>
    <n v="149"/>
    <n v="149"/>
    <x v="0"/>
    <s v="FUNCIONAMIENTO"/>
    <x v="6"/>
    <n v="44650"/>
    <s v="INDETERMINADO"/>
    <s v="CALES DE COLOMBIA SA"/>
    <m/>
    <n v="0"/>
    <m/>
    <m/>
    <s v="N/A"/>
    <s v="N/A"/>
    <m/>
    <s v="MEDELLIN"/>
    <s v="NACIONAL"/>
    <m/>
    <n v="0"/>
    <x v="0"/>
    <n v="2"/>
    <n v="85"/>
  </r>
  <r>
    <n v="1"/>
    <s v="0001"/>
    <x v="0"/>
    <d v="2021-12-10T00:00:00"/>
    <x v="1"/>
    <s v="GT0148"/>
    <s v="FR-400-GT-0003-2022"/>
    <s v="N/A"/>
    <s v="Prestación de servicios de licenciamiento de software de las suites cpanel"/>
    <n v="16911804"/>
    <s v="30 dias"/>
    <s v="900-IP-0054-2022"/>
    <m/>
    <s v="PENDIENTE"/>
    <m/>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tregado al area"/>
    <m/>
    <d v="2022-01-28T00:00:00"/>
    <x v="2"/>
    <m/>
    <n v="49"/>
    <n v="25"/>
    <x v="2"/>
    <s v="FUNCIONAMIENTO"/>
    <x v="7"/>
    <d v="2022-01-24T00:00:00"/>
    <n v="16911804"/>
    <s v="SOLUCIONES DE TELECOMUNICACIONES Y COMPUTO SAS"/>
    <m/>
    <n v="0"/>
    <m/>
    <m/>
    <s v="N/A"/>
    <s v="N/A"/>
    <m/>
    <s v="CALI"/>
    <s v="LOCAL"/>
    <m/>
    <n v="0"/>
    <x v="0"/>
    <n v="1"/>
    <n v="34"/>
  </r>
  <r>
    <n v="2"/>
    <s v="0002"/>
    <x v="0"/>
    <d v="2021-12-10T00:00:00"/>
    <x v="1"/>
    <s v="GT0158"/>
    <s v="FR-400-GT-0004-2022"/>
    <s v="N/A"/>
    <s v="Renovación y actualización de las licencias de los dos (2) firewall XG 550 - EnterpriceGuard with enhanced Support - por 1 año, que permiten tener operativa la plataforma de seguridad para los usuarios de las 40 zonas WIFI del municipio de Santiago de Cali cumpliendo con las regulaciones exigidas por el MINTIC."/>
    <n v="48684219"/>
    <s v="30 dias"/>
    <s v="900-IP-0055-2022"/>
    <m/>
    <n v="202201974"/>
    <n v="48392074"/>
    <s v="N/A"/>
    <s v="N/A"/>
    <m/>
    <x v="2"/>
    <s v="ADALBERTO VALENCIA"/>
    <d v="2022-01-03T00:00:00"/>
    <m/>
    <m/>
    <m/>
    <s v="Entregado al area"/>
    <x v="1"/>
    <s v="21 de enero se envio la invitacion a ofertar al proveedor_x000a_24 DE ENERO EN EVALUACION_x000a_26 de enero en espera de la firma del gerente en la aceptacion de la oferta_x000a_28 de enero en espera de las polizas ya tiene registrp"/>
    <m/>
    <d v="2022-02-22T00:00:00"/>
    <x v="2"/>
    <m/>
    <n v="74"/>
    <n v="50"/>
    <x v="2"/>
    <s v="FUNCIONAMIENTO"/>
    <x v="8"/>
    <d v="2022-01-26T00:00:00"/>
    <n v="48391479"/>
    <s v="INGENIERIA DE SISTEMAS TELEMATICOS SA"/>
    <m/>
    <n v="292740"/>
    <m/>
    <m/>
    <s v="N/A"/>
    <s v="N/A"/>
    <m/>
    <s v="CALI"/>
    <s v="LOCAL"/>
    <m/>
    <n v="6.013036791244407E-3"/>
    <x v="0"/>
    <n v="1"/>
    <n v="51"/>
  </r>
  <r>
    <n v="3"/>
    <s v="0003"/>
    <x v="0"/>
    <d v="2021-12-10T00:00:00"/>
    <x v="1"/>
    <s v="GT0166"/>
    <s v="FR-400-GT-0005-2022"/>
    <s v="N/A"/>
    <s v="Soporte técnico, actualización y mantenimiento plataforma de Gestión de Redes de acceso WIFI"/>
    <n v="24347400"/>
    <s v="11 meses"/>
    <s v="900-IP-0056-2022"/>
    <m/>
    <n v="202201976"/>
    <n v="34396662"/>
    <s v="N/A"/>
    <s v="N/A"/>
    <m/>
    <x v="2"/>
    <s v="ADALBERTO VALENCIA"/>
    <d v="2022-01-03T00:00:00"/>
    <m/>
    <m/>
    <m/>
    <s v="Entregado al area"/>
    <x v="1"/>
    <s v="21 de enero se envio la invitacion a ofertar al proveedor_x000a_24 DE ENERO EN ESPERA DE LA NUMERACION DE LA ACEPTACION DE LA OFERTA_x000a_26 de enero en aprobacion de poliza_x000a_28 de enero en aprobacion de la polizas"/>
    <m/>
    <d v="2022-02-02T00:00:00"/>
    <x v="2"/>
    <m/>
    <n v="54"/>
    <n v="30"/>
    <x v="2"/>
    <s v="FUNCIONAMIENTO"/>
    <x v="9"/>
    <d v="2022-01-24T00:00:00"/>
    <n v="19347400"/>
    <s v="SOLUCIONES DE TECNOLOGIA DE INGENIERIA SAS"/>
    <m/>
    <n v="5000000"/>
    <m/>
    <m/>
    <s v="N/A"/>
    <s v="N/A"/>
    <m/>
    <s v="CALI"/>
    <s v="LOCAL"/>
    <m/>
    <n v="0.20536073667003457"/>
    <x v="0"/>
    <n v="1"/>
    <n v="37"/>
  </r>
  <r>
    <n v="4"/>
    <s v="0004"/>
    <x v="3"/>
    <d v="2021-12-10T00:00:00"/>
    <x v="1"/>
    <s v="GT0165"/>
    <s v="FR-400-GT-0007-2022"/>
    <s v="N/A"/>
    <s v="Mantenimiento preventivo y correctivo a las bases de las montantes, a la cimentación de la torre de Peñas Negras que incluya los estudios de suelos, mantenimiento locativos al salón de equipos, memorias de cálculo, planos estructurales y construcción de los elementos estructurales que aseguren en el tiempo la estabilidad de la torre cumpliendo con la normatividad vigente colombiana."/>
    <n v="121973133"/>
    <s v="11 meses"/>
    <s v="900-IP-0058-2022"/>
    <s v="IP-"/>
    <s v="PENDIENTE"/>
    <m/>
    <s v="N/A"/>
    <s v="N/A"/>
    <s v="N/A"/>
    <x v="2"/>
    <s v="ANA MARIA GIL"/>
    <d v="2022-01-03T00:00:00"/>
    <e v="#VALUE!"/>
    <e v="#VALUE!"/>
    <s v="NO"/>
    <s v="Devuelto"/>
    <x v="2"/>
    <m/>
    <s v="20 DE ENERO EN VISITA TECNICA _x000a_21 DE ENERO ESPERANDO COTIZACIONES DE LOS PROVEEDORES SINO SE DEVUELVE_x000a_24 de enero a la espera de proveedor porque no hay proveedor para ese proceso_x000a_26 de Enero se devuelve porque se cotizo por encima del presupuesto."/>
    <d v="2022-01-26T00:00:00"/>
    <x v="5"/>
    <s v="ene"/>
    <n v="47"/>
    <n v="23"/>
    <x v="3"/>
    <s v="FUNCIONAMIENTO"/>
    <x v="0"/>
    <m/>
    <m/>
    <m/>
    <m/>
    <n v="121973133"/>
    <m/>
    <m/>
    <m/>
    <m/>
    <m/>
    <m/>
    <m/>
    <m/>
    <m/>
    <x v="1"/>
    <m/>
    <m/>
  </r>
  <r>
    <n v="5"/>
    <s v="0005"/>
    <x v="0"/>
    <d v="2021-12-14T00:00:00"/>
    <x v="1"/>
    <s v="GT0190"/>
    <s v="FR-400-GT-0001-2022"/>
    <s v="N/A"/>
    <s v="Suministro de cubiertas de empalme, materiales de reentradas y accesorios para empalmería de cables multipares con protección de barrera contra humedad (BCH) de uso en la red externa en la operación y matenimiento de la GUENTIC."/>
    <n v="193350080"/>
    <s v="45 dias"/>
    <s v="900-IP-0057-2022"/>
    <m/>
    <n v="202201978"/>
    <n v="193350080"/>
    <s v="N/A"/>
    <s v="N/A"/>
    <m/>
    <x v="2"/>
    <s v="ANA MARIA GIL"/>
    <d v="2022-01-03T00:00:00"/>
    <m/>
    <m/>
    <m/>
    <s v="Entregado al area"/>
    <x v="1"/>
    <s v="21 DE ENERO PARA FIRMA DE JEFE JORGE DE LA FPA E INVITACION_x000a_24 de enero evaluando y esperando subsanables_x000a_26 de enero en evaluacion_x000a_28 de enero solicitud de registro y polizas"/>
    <m/>
    <d v="2022-02-08T00:00:00"/>
    <x v="2"/>
    <m/>
    <n v="56"/>
    <n v="36"/>
    <x v="2"/>
    <s v="FUNCIONAMIENTO"/>
    <x v="10"/>
    <d v="2022-01-27T00:00:00"/>
    <n v="193347661"/>
    <s v="MATRIX TELECOM LTDA"/>
    <m/>
    <n v="2419"/>
    <m/>
    <m/>
    <s v="2021-363"/>
    <d v="2021-01-07T00:00:00"/>
    <m/>
    <s v="BOGOTA"/>
    <s v="NACIONAL"/>
    <m/>
    <n v="1.2510985255346158E-5"/>
    <x v="0"/>
    <n v="1"/>
    <n v="39"/>
  </r>
  <r>
    <n v="6"/>
    <s v="0006"/>
    <x v="0"/>
    <d v="2022-01-19T00:00:00"/>
    <x v="1"/>
    <s v="GT0207"/>
    <s v="FR-400-GT-0009-2022"/>
    <s v="N/A"/>
    <s v="Mano de obra y materiales para el mantenimiento correctivo y preventivo de Tapas Circulares y Rectangulares en Concreto con Sistema de Seguridad Mecánico, con el fin de proteger la red de acceso de EMCALI EICE ESP, según las Especificaciones Técnicas."/>
    <n v="223979115"/>
    <s v="120 dias"/>
    <s v="900-IP-0093-2022"/>
    <m/>
    <n v="202201971"/>
    <n v="221603675"/>
    <s v="N/A"/>
    <s v="N/A"/>
    <m/>
    <x v="2"/>
    <s v="ESTEFANIA SANCHEZ"/>
    <d v="2022-01-19T00:00:00"/>
    <m/>
    <m/>
    <m/>
    <s v="Entregado al area"/>
    <x v="1"/>
    <s v="21 DE ENERO EN COTIZACIONES SE PONE FECHA DE RADICADO EL DIA 19 DE ENERO QUE LLEGO EL CDP_x000a_26 DE ENERO PARA LA FIRMA LA INVITACION A OFERTAR _x000a_28 de enero en recepcion de ofertas_x000a_REVISION DE LA EVALUACION"/>
    <m/>
    <d v="2022-02-14T00:00:00"/>
    <x v="2"/>
    <m/>
    <n v="26"/>
    <n v="26"/>
    <x v="2"/>
    <s v="FUNCIONAMIENTO"/>
    <x v="11"/>
    <d v="2022-01-28T00:00:00"/>
    <n v="220952060"/>
    <s v="IMEVALLE SAS"/>
    <m/>
    <n v="3027055"/>
    <m/>
    <m/>
    <s v="N/A"/>
    <s v="N/A"/>
    <m/>
    <s v="YUMBO"/>
    <s v="MUNICIPAL"/>
    <m/>
    <n v="1.3514898476136938E-2"/>
    <x v="0"/>
    <n v="1"/>
    <n v="18"/>
  </r>
  <r>
    <n v="7"/>
    <s v="0007"/>
    <x v="0"/>
    <d v="2022-01-19T00:00:00"/>
    <x v="1"/>
    <s v="GT0135"/>
    <s v="FR-400-GT-0008-2022"/>
    <s v="N/A"/>
    <s v="Provisión de servicios de internet (zona distrital multinodal) soportado en sistemas de comunicaciones RF O FO mediante un sistema autónomo energético, monitoreado a través de dispositivos con sensores electrónicos basado en internet de las cosas y soportado en una estructura con condiciones térmicas ambientales mejoradas."/>
    <n v="37000000"/>
    <s v="60 dias"/>
    <s v="900-IP-0094-2022"/>
    <m/>
    <n v="202201970"/>
    <n v="37000000"/>
    <s v="N/A"/>
    <s v="N/A"/>
    <m/>
    <x v="2"/>
    <s v="ESTEFANIA SANCHEZ"/>
    <d v="2022-01-19T00:00:00"/>
    <m/>
    <m/>
    <m/>
    <s v="Entregado al area"/>
    <x v="1"/>
    <s v="21 DE ENERO EN COTIZACIONES SE PONE FECHA DE RADICADO EL DIA 19 DE ENERO QUE LLEGO EL CDP_x000a_26 DE ENERO SE DEVUELVE EL DIA DE MAÑANA PORQUE IMPACTO TRIBUTARIO NO DIO SU CONCEPTO Y EL AREA NO MODIFICO LAS ESPECIFICACIONES Y NO SE ALCANZA A TERMINAR_x000a_Lo recibieron nuevamente _x000a_28 de enero en elaboracion de fpa e invitacion"/>
    <m/>
    <d v="2022-02-14T00:00:00"/>
    <x v="2"/>
    <m/>
    <n v="26"/>
    <n v="26"/>
    <x v="2"/>
    <s v="INVERSION"/>
    <x v="12"/>
    <d v="2022-01-28T00:00:00"/>
    <n v="35070202"/>
    <s v="DISTRIELECTRICOS MAVI SAS"/>
    <m/>
    <n v="1929798"/>
    <m/>
    <m/>
    <s v="N/A"/>
    <s v="N/A"/>
    <m/>
    <s v="SANTANDER DE QUILICHAO"/>
    <s v="MUNICIPAL"/>
    <m/>
    <n v="5.2156702702702701E-2"/>
    <x v="0"/>
    <n v="1"/>
    <n v="18"/>
  </r>
  <r>
    <n v="8"/>
    <s v="0008"/>
    <x v="3"/>
    <d v="2022-01-20T00:00:00"/>
    <x v="1"/>
    <s v="GT0191"/>
    <s v="FR-400-GT-0002-2022"/>
    <s v="N/A"/>
    <s v="Suministro de conectores para realizar empalme de conductores de cobre en cables multipares de uso en la red de planta externa requeridos para el mantenimiento de las redes  de acceso de la GUENTIC."/>
    <n v="143761000"/>
    <s v="45 dias"/>
    <s v="900-IP-0059-2022"/>
    <s v="IP-"/>
    <s v="PENDIENTE"/>
    <n v="143761000"/>
    <s v="N/A"/>
    <s v="N/A"/>
    <s v="N/A"/>
    <x v="2"/>
    <s v="ANA MARIA GIL"/>
    <d v="2022-01-20T00:00:00"/>
    <e v="#VALUE!"/>
    <e v="#VALUE!"/>
    <s v="NO"/>
    <s v="Devuelto"/>
    <x v="2"/>
    <m/>
    <s v="21 DE ENERO PARA FIRMA DE JEFE JORGE DE LA FPA E INVITACION. Este proceso de devolvio porque se tuvo que modificar el formulario de precios y cantidades, se recibio nuevamente con el mismo numero unico y PACC_x000a_24 de enero en recepcion de ofertas_x000a_26 d enero en revision de la evaluacion"/>
    <d v="2022-01-26T00:00:00"/>
    <x v="5"/>
    <s v="ene"/>
    <n v="6"/>
    <n v="6"/>
    <x v="3"/>
    <s v="FUNCIONAMIENTO"/>
    <x v="0"/>
    <m/>
    <m/>
    <m/>
    <m/>
    <n v="143761000"/>
    <m/>
    <m/>
    <m/>
    <m/>
    <m/>
    <m/>
    <m/>
    <m/>
    <m/>
    <x v="1"/>
    <m/>
    <m/>
  </r>
  <r>
    <n v="9"/>
    <s v="0009"/>
    <x v="2"/>
    <d v="2021-12-29T00:00:00"/>
    <x v="1"/>
    <s v="GAA0555"/>
    <s v="FR-300-GAA-0001-2022"/>
    <s v="N/A"/>
    <s v="Servicios de mantenimiento preventivo y correctivo de equipos menores."/>
    <n v="96889800"/>
    <s v="60 dias"/>
    <s v="900-IP-0101-2021"/>
    <m/>
    <s v="PENDIENTE"/>
    <m/>
    <s v="N/A"/>
    <s v="N/A"/>
    <m/>
    <x v="2"/>
    <s v="PAOLA BELTRAN"/>
    <d v="2022-01-03T00:00:00"/>
    <m/>
    <m/>
    <m/>
    <s v="Entregado al area"/>
    <x v="1"/>
    <s v="21 DE ENNERO EN REVISION DE INVITACION Y FP_x000a_24 de enero  se reciben la oferta el 25 de enero_x000a_26 DE ENERO EN APROBACION DE POLIZAS"/>
    <m/>
    <d v="2022-01-28T00:00:00"/>
    <x v="2"/>
    <m/>
    <n v="30"/>
    <n v="25"/>
    <x v="2"/>
    <s v="FUNCIONAMIENTO"/>
    <x v="13"/>
    <d v="2022-01-25T00:00:00"/>
    <n v="96889800"/>
    <s v="TALLERES BRIG LTDA"/>
    <m/>
    <n v="0"/>
    <m/>
    <m/>
    <s v="N/A"/>
    <s v="N/A"/>
    <m/>
    <s v="CALI"/>
    <s v="LOCAL"/>
    <m/>
    <n v="0"/>
    <x v="0"/>
    <n v="1"/>
    <n v="21"/>
  </r>
  <r>
    <n v="10"/>
    <s v="0010"/>
    <x v="2"/>
    <d v="2021-12-30T00:00:00"/>
    <x v="1"/>
    <s v="GAA0556"/>
    <s v="FR-300-GAA-0002-2022"/>
    <s v="N/A"/>
    <s v="Prestar el servicio de transporte para apoyar la supervisión del contrato de obra_x000a_No 300-CO-1437-2018"/>
    <n v="148818450"/>
    <s v="8 meses"/>
    <s v="900-IP-0068-2022"/>
    <m/>
    <s v="PENDIENTE"/>
    <m/>
    <s v="N/A"/>
    <s v="N/A"/>
    <m/>
    <x v="2"/>
    <s v="PAOLA BELTRAN"/>
    <d v="2022-01-03T00:00:00"/>
    <m/>
    <m/>
    <m/>
    <s v="Entregado al area"/>
    <x v="1"/>
    <s v="21 DE ENERO EN COTIZACIONES_x000a_24 de enero  se reciben la oferta el 25 de enero_x000a_26 DE ENERO EN REVISION DE LA EVALUACION_x000a_28 DE ENERO EN RP Y POLIZAS"/>
    <m/>
    <d v="2022-02-28T00:00:00"/>
    <x v="2"/>
    <m/>
    <n v="60"/>
    <n v="56"/>
    <x v="2"/>
    <s v="INVERSION"/>
    <x v="14"/>
    <d v="2022-01-27T00:00:00"/>
    <n v="124137000"/>
    <s v="FERNANCO CAIDEDO SUAREZ"/>
    <m/>
    <n v="24681450"/>
    <m/>
    <m/>
    <s v="N/A"/>
    <s v="N/A"/>
    <m/>
    <s v="CALI"/>
    <s v="LOCAL"/>
    <m/>
    <n v="0.16584939568984894"/>
    <x v="0"/>
    <n v="1"/>
    <n v="41"/>
  </r>
  <r>
    <n v="11"/>
    <s v="0011"/>
    <x v="4"/>
    <d v="2021-12-30T00:00:00"/>
    <x v="1"/>
    <s v="GAE0013"/>
    <s v="FR-900-GAE-0053-2022"/>
    <s v="N/A"/>
    <s v="Servicio de consulta y reporte sobre las actividades y/o información financiera, comercial, legal, reputacional, de marketing y riesgos asociados a los proveedores, así como el monitoreo de los mismos."/>
    <n v="41000000"/>
    <s v="31 DE DICIEMBRE 2022"/>
    <s v="900-IP-0077-2022"/>
    <m/>
    <n v="202201408"/>
    <n v="45000000"/>
    <s v="N/A"/>
    <s v="N/A"/>
    <m/>
    <x v="2"/>
    <s v="ESTEFANIA SANCHEZ"/>
    <d v="2022-01-03T00:00:00"/>
    <m/>
    <m/>
    <m/>
    <s v="Entregado al area"/>
    <x v="1"/>
    <s v="21 DE ENERO ESPERANDO MODIFICACION DEL CDP PARA CONTINUAR_x000a_26 DE ENERO PARA LA FIRMA DE LA ACEPTACION DE LA OFERTA_x000a_28 de enero ensolicitud de polizar y rp"/>
    <m/>
    <d v="2022-02-15T00:00:00"/>
    <x v="2"/>
    <m/>
    <n v="47"/>
    <n v="43"/>
    <x v="2"/>
    <s v="FUNCIONAMIENTO"/>
    <x v="15"/>
    <d v="2022-01-27T00:00:00"/>
    <n v="39612720"/>
    <s v="INFORMA COLOMBIA SA"/>
    <m/>
    <n v="1387280"/>
    <m/>
    <m/>
    <s v="N/A"/>
    <s v="N/A"/>
    <m/>
    <s v="BOGOTA "/>
    <s v="NACIONAL"/>
    <m/>
    <n v="3.3836097560975609E-2"/>
    <x v="1"/>
    <n v="1"/>
    <n v="32"/>
  </r>
  <r>
    <n v="12"/>
    <s v="0012"/>
    <x v="5"/>
    <d v="2021-12-30T00:00:00"/>
    <x v="1"/>
    <s v="GHA0043"/>
    <s v="FR-800-GAGHA-0082-2022"/>
    <s v="N/A"/>
    <s v="Realizar el mantenimiento y reparación de armas de fuego adscritas a la Unidad de Seguridad Fisica y Electrónica, con el fin de asegurar el correcto funcionamiento."/>
    <n v="11200000"/>
    <s v="31 DE DICIEMBRE 2022"/>
    <s v="900-IP-0063-2022"/>
    <m/>
    <n v="202201117"/>
    <n v="11208500"/>
    <s v="N/A"/>
    <s v="N/A"/>
    <m/>
    <x v="2"/>
    <s v="LEIDY FRANCO"/>
    <d v="2022-01-03T00:00:00"/>
    <m/>
    <m/>
    <m/>
    <s v="Entregado al area"/>
    <x v="1"/>
    <s v="21 de enero se invito a ofertar al proveedor_x000a_24 DE ENERO EN RECEPCION DE OFERTAS_x000a_26 DE ENERO PARA LA FIRMA DE LA ACEPTACION DE LA OFERTA_x000a_28 de enero en solciitud de polizas y rp_x000a_Esperando polizas"/>
    <m/>
    <d v="2022-02-02T00:00:00"/>
    <x v="2"/>
    <m/>
    <n v="34"/>
    <n v="30"/>
    <x v="2"/>
    <s v="FUNCIONAMIENTO"/>
    <x v="16"/>
    <d v="2022-01-27T00:00:00"/>
    <n v="11200000"/>
    <s v="MONICA ALAJENADRA LOZANO"/>
    <m/>
    <n v="0"/>
    <m/>
    <m/>
    <s v="N/A"/>
    <s v="N/A"/>
    <m/>
    <s v="CALI"/>
    <s v="LOCAL"/>
    <m/>
    <n v="0"/>
    <x v="1"/>
    <n v="1"/>
    <n v="23"/>
  </r>
  <r>
    <n v="13"/>
    <s v="0013"/>
    <x v="5"/>
    <d v="2021-12-30T00:00:00"/>
    <x v="1"/>
    <s v="GHA0046"/>
    <s v="FR-800-GAGHA-0084-2022"/>
    <s v="N/A"/>
    <s v="Adquisición, instalación, configuración, integración y operación del sistema de Circuito Cerrado de Televisión CCTV en la Subestación Melendez de EMCALI EICE ESP."/>
    <n v="349318315"/>
    <s v="31 DE DICIEMBRE 2022"/>
    <s v="900-IP-0064-2022"/>
    <s v="IP-"/>
    <n v="202201121"/>
    <n v="350000000"/>
    <s v="N/A"/>
    <s v="N/A"/>
    <s v="N/A"/>
    <x v="2"/>
    <s v="LEIDY DIANA FRANCO"/>
    <d v="2022-01-03T00:00:00"/>
    <e v="#VALUE!"/>
    <e v="#VALUE!"/>
    <s v="NO"/>
    <s v="Cerrado"/>
    <x v="0"/>
    <m/>
    <s v="21  enero en revision de la invitacion _x000a_24 DE ENERO EN RECEPCION DE OFERTAS_x000a_26 DE ENERO EN REVISION DE LA EVALUACION_x000a_28 de enero se cerro por solicitud del area"/>
    <d v="2022-01-28T00:00:00"/>
    <x v="5"/>
    <s v="ene"/>
    <n v="29"/>
    <n v="25"/>
    <x v="2"/>
    <s v="FUNCIONAMIENTO"/>
    <x v="0"/>
    <m/>
    <m/>
    <m/>
    <m/>
    <m/>
    <n v="349318315"/>
    <m/>
    <m/>
    <m/>
    <m/>
    <m/>
    <m/>
    <m/>
    <m/>
    <x v="1"/>
    <m/>
    <m/>
  </r>
  <r>
    <n v="14"/>
    <s v="0014"/>
    <x v="5"/>
    <d v="2021-12-30T00:00:00"/>
    <x v="1"/>
    <s v="GHA0042"/>
    <s v="FR-800-GAGHA-0085-2022"/>
    <s v="N/A"/>
    <s v="Prestar el servicio de mantenimiento preventivo y correctivo de los sitemas de seguridad electrónica (controles de acceso, CCTV, cerca eléctrica, sistema de cableado que conecta equipos de seguridad y software de integración, visualización y grabación), para las instalaciones de EMCALI EICE ESP."/>
    <n v="247069000"/>
    <s v="31 DE DICIEMBRE 2022"/>
    <s v="900-IP-0065-2022"/>
    <m/>
    <n v="202201116"/>
    <n v="247069000"/>
    <s v="N/A"/>
    <s v="N/A"/>
    <m/>
    <x v="2"/>
    <s v="LEIDY FRANCO"/>
    <d v="2022-01-04T00:00:00"/>
    <m/>
    <m/>
    <m/>
    <s v="Entregado al area"/>
    <x v="1"/>
    <s v="21  enero en revision de la invitacion _x000a_24 DE ENERO EN RECEPCION DE OFERTAS_x000a_26 DE ENERO EN REVISION DE LA EVALUACION ( pendiente confirmacion si se suspende por solicitud del area)_x000a_28 de enero en aprobacion de polizas y solicitud de rp_x000a_En aprobacion de polizas_x000a__x000a_"/>
    <m/>
    <d v="2022-02-03T00:00:00"/>
    <x v="2"/>
    <m/>
    <n v="35"/>
    <n v="30"/>
    <x v="2"/>
    <s v="FUNCIONAMIENTO"/>
    <x v="17"/>
    <d v="2022-01-27T00:00:00"/>
    <n v="247069000"/>
    <s v="SPECTRA INGENIERIA SAS"/>
    <m/>
    <n v="0"/>
    <m/>
    <m/>
    <s v="N/A"/>
    <s v="N/A"/>
    <m/>
    <s v="CALI"/>
    <s v="LOCAL"/>
    <m/>
    <n v="0"/>
    <x v="1"/>
    <n v="1"/>
    <n v="24"/>
  </r>
  <r>
    <n v="15"/>
    <s v="0015"/>
    <x v="5"/>
    <d v="2021-12-30T00:00:00"/>
    <x v="1"/>
    <s v="GHA0088"/>
    <s v="FR-800-GAGHA-0087-2022"/>
    <s v="N/A"/>
    <s v="Realizar el mantenimiento preventivo y correctivo a las motocicletas que conforman el parque automotor de EMCALI EICE ESP que lo requieran."/>
    <n v="46725000"/>
    <s v="31 DE DICIEMBRE 2022"/>
    <s v="900-IP-0066-2022"/>
    <m/>
    <n v="202201825"/>
    <n v="46725000"/>
    <s v="N/A"/>
    <s v="N/A"/>
    <m/>
    <x v="2"/>
    <s v="LEIDY FRANCO"/>
    <d v="2022-01-17T00:00:00"/>
    <m/>
    <m/>
    <m/>
    <s v="Entregado al area"/>
    <x v="1"/>
    <s v="21  enero en revision de la invitacion _x000a_24 DE ENERO EN RECEPCION DE OFERTAS_x000a_26 de enero en revision de la evaluacion_x000a_28 de enero en solciitud de polizas y rp_x000a_EN aprobacion de polizas_x000a_1 de febrero entregado al area"/>
    <m/>
    <d v="2022-02-01T00:00:00"/>
    <x v="2"/>
    <m/>
    <n v="33"/>
    <n v="15"/>
    <x v="2"/>
    <s v="FUNCIONAMIENTO"/>
    <x v="18"/>
    <d v="2022-01-27T00:00:00"/>
    <n v="46725000"/>
    <s v="ZAGAMOTOS DEL PACIFICO SAS"/>
    <m/>
    <n v="0"/>
    <m/>
    <m/>
    <s v="N/A"/>
    <s v="N/A"/>
    <m/>
    <s v="CALI"/>
    <s v="LOCAL"/>
    <m/>
    <n v="0"/>
    <x v="1"/>
    <n v="1"/>
    <n v="22"/>
  </r>
  <r>
    <n v="16"/>
    <s v="0016"/>
    <x v="6"/>
    <d v="2022-01-03T00:00:00"/>
    <x v="1"/>
    <s v="GTI0366"/>
    <s v="FR-200-GTI-0001-2022"/>
    <s v="N/A"/>
    <s v="Realizar procesos de mejoramiento y desarrollo de software, que permita contar con trámites de cara al ciudadano más automatizados desde el portal web de EMCALI."/>
    <n v="320000000"/>
    <s v="30 de julio 2022"/>
    <m/>
    <s v=""/>
    <s v="PENDIENTE"/>
    <s v="N/A"/>
    <s v="N/A"/>
    <s v="N/A"/>
    <s v="N/A"/>
    <x v="3"/>
    <s v="CRISTHIAN BURBANO"/>
    <d v="2022-01-04T00:00:00"/>
    <e v="#VALUE!"/>
    <e v="#VALUE!"/>
    <s v="NO"/>
    <s v="Devuelto"/>
    <x v="2"/>
    <m/>
    <s v="SE DEVUELVEN PORQUE NO SE RECIBIO CDP POR PARTE DEL AREA"/>
    <d v="2022-01-28T00:00:00"/>
    <x v="5"/>
    <s v="ene"/>
    <n v="25"/>
    <n v="24"/>
    <x v="2"/>
    <s v="FUNCIONAMIENTO"/>
    <x v="0"/>
    <m/>
    <m/>
    <m/>
    <m/>
    <n v="320000000"/>
    <m/>
    <m/>
    <m/>
    <m/>
    <m/>
    <m/>
    <m/>
    <m/>
    <m/>
    <x v="1"/>
    <m/>
    <m/>
  </r>
  <r>
    <n v="17"/>
    <s v="0017"/>
    <x v="6"/>
    <d v="2022-01-03T00:00:00"/>
    <x v="1"/>
    <s v="GTI0050"/>
    <s v="FR-200-GTI-0002-2022"/>
    <s v="N/A"/>
    <s v="Prestación de servicios especializados de análisis, diseño, desarrollo, pruebas, puesta en producción y soporte, para sistematizar la gestión y control de los procesos disciplinarios con los parámetros técnicos y legales vigentes."/>
    <n v="287471000"/>
    <s v="30 de julio 2022"/>
    <m/>
    <s v=""/>
    <s v="PENDIENTE"/>
    <s v="N/A"/>
    <s v="N/A"/>
    <s v="N/A"/>
    <s v="N/A"/>
    <x v="3"/>
    <s v="CRISTHIAN BURBANO"/>
    <d v="2022-01-04T00:00:00"/>
    <e v="#VALUE!"/>
    <e v="#VALUE!"/>
    <s v="NO"/>
    <s v="Devuelto"/>
    <x v="2"/>
    <m/>
    <s v="SE DEVUELVEN PORQUE NO SE RECIBIO CDP POR PARTE DEL AREA"/>
    <d v="2022-01-28T00:00:00"/>
    <x v="5"/>
    <s v="ene"/>
    <n v="25"/>
    <n v="24"/>
    <x v="2"/>
    <s v="FUNCIONAMIENTO"/>
    <x v="0"/>
    <m/>
    <m/>
    <m/>
    <m/>
    <n v="287471000"/>
    <m/>
    <m/>
    <m/>
    <m/>
    <m/>
    <m/>
    <m/>
    <m/>
    <m/>
    <x v="1"/>
    <m/>
    <m/>
  </r>
  <r>
    <n v="18"/>
    <s v="0018"/>
    <x v="6"/>
    <d v="2022-01-03T00:00:00"/>
    <x v="1"/>
    <s v="GTI0039"/>
    <s v="FR-200-GTI-0003-2022"/>
    <s v="N/A"/>
    <s v="Realizar el levantamiento, diseño, desarrollo, configuración, capacitación y puesta en producción de una herramienta de software, que permita contar con cuadros de mando de control, para la gerencia de los proyectos ejecutados en EMCALI desde la PMO."/>
    <n v="350000000"/>
    <m/>
    <m/>
    <s v=""/>
    <s v="PENDIENTE"/>
    <m/>
    <s v="N/A"/>
    <s v="N/A"/>
    <s v="N/A"/>
    <x v="3"/>
    <s v="PABLO CAICEDO"/>
    <d v="2022-01-06T00:00:00"/>
    <e v="#VALUE!"/>
    <e v="#VALUE!"/>
    <s v="NO"/>
    <s v="Devuelto"/>
    <x v="2"/>
    <m/>
    <s v="DEVUELTO PORQUE NO TENIAN CDP"/>
    <d v="2022-01-17T00:00:00"/>
    <x v="5"/>
    <s v="ene"/>
    <n v="14"/>
    <n v="11"/>
    <x v="2"/>
    <s v="FUNCIONAMIENTO"/>
    <x v="0"/>
    <m/>
    <m/>
    <m/>
    <m/>
    <n v="350000000"/>
    <m/>
    <m/>
    <m/>
    <m/>
    <m/>
    <m/>
    <m/>
    <m/>
    <m/>
    <x v="1"/>
    <m/>
    <m/>
  </r>
  <r>
    <n v="19"/>
    <s v="0019"/>
    <x v="6"/>
    <d v="2022-01-03T00:00:00"/>
    <x v="1"/>
    <s v="GTI0042"/>
    <s v="FR-200-GTI-0006-2022"/>
    <s v="N/A"/>
    <s v="Servicio en nube de 161 escritorios remotos mensualizado para equipos de cómputo con arquitectura de 32 y 654 bit, que fortalezcan el desarrollo de las actividades de PQRS, CALL CENTER e implementación del proyecto SAP, solicitada por la gerencia de comerciales y GTI."/>
    <n v="349698036"/>
    <m/>
    <m/>
    <s v=""/>
    <s v="PENDIENTE"/>
    <s v="N/A"/>
    <s v="N/A"/>
    <s v="N/A"/>
    <s v="N/A"/>
    <x v="3"/>
    <s v="CRISTHIAN BURBANO"/>
    <d v="2022-01-06T00:00:00"/>
    <e v="#VALUE!"/>
    <e v="#VALUE!"/>
    <s v="NO"/>
    <s v="Devuelto"/>
    <x v="2"/>
    <m/>
    <s v="SE DVUELVE PORQUE NO TENIA CDP"/>
    <d v="2022-01-17T00:00:00"/>
    <x v="5"/>
    <s v="ene"/>
    <n v="14"/>
    <n v="11"/>
    <x v="2"/>
    <s v="FUNCIONAMIENTO"/>
    <x v="0"/>
    <m/>
    <m/>
    <m/>
    <m/>
    <n v="349698036"/>
    <m/>
    <m/>
    <m/>
    <m/>
    <m/>
    <m/>
    <m/>
    <m/>
    <m/>
    <x v="1"/>
    <m/>
    <m/>
  </r>
  <r>
    <n v="20"/>
    <s v="0020"/>
    <x v="6"/>
    <d v="2022-01-03T00:00:00"/>
    <x v="1"/>
    <s v="GTI0002"/>
    <s v="FR-200-GTI-0008-2022"/>
    <s v="N/A"/>
    <s v="Adquirir renovación plataforma Proxi y Filtrado de Contenido."/>
    <n v="214140187"/>
    <m/>
    <m/>
    <s v=""/>
    <s v="PENDIENTE"/>
    <m/>
    <s v="N/A"/>
    <s v="N/A"/>
    <s v="N/A"/>
    <x v="3"/>
    <s v="PABLO CAICEDO"/>
    <d v="2021-01-06T00:00:00"/>
    <e v="#VALUE!"/>
    <e v="#VALUE!"/>
    <s v="NO"/>
    <s v="Devuelto"/>
    <x v="2"/>
    <m/>
    <s v="Se devuelve porque no tenian CDP"/>
    <d v="2022-01-17T00:00:00"/>
    <x v="5"/>
    <s v="ene"/>
    <n v="14"/>
    <n v="376"/>
    <x v="2"/>
    <s v="FUNCIONAMIENTO"/>
    <x v="0"/>
    <m/>
    <m/>
    <m/>
    <m/>
    <n v="214140187"/>
    <m/>
    <m/>
    <m/>
    <m/>
    <m/>
    <m/>
    <m/>
    <m/>
    <m/>
    <x v="1"/>
    <m/>
    <m/>
  </r>
  <r>
    <n v="21"/>
    <s v="0021"/>
    <x v="6"/>
    <d v="2022-01-03T00:00:00"/>
    <x v="1"/>
    <s v="GTI0037_x000a_GTI0084"/>
    <s v="FR-200-GTI-0015-2022"/>
    <s v="N/A"/>
    <s v="Servicios profesionales especializados en tecnologías de la información y las comunicaciones, para gerencia de proyectos, realizar levantamiento de requerimientos, ejecutar actividades de análisis, diseño, desarrollo e implementación, pruebas, mantenimiento, así mismo, acatividades para proyectos de innovación, investigación construcción de prototipos o elaboración de pruebas de concepto, incluyendo el servicio de capacitación y entrenamiento a usuarios funcionales y técnicos, para liferay portal e internet."/>
    <n v="443076766"/>
    <m/>
    <m/>
    <s v=""/>
    <n v="202202125"/>
    <n v="230000000"/>
    <s v="N/A"/>
    <s v="N/A"/>
    <s v="N/A"/>
    <x v="3"/>
    <s v="PABLO CAICEDO"/>
    <d v="2022-01-06T00:00:00"/>
    <e v="#VALUE!"/>
    <e v="#VALUE!"/>
    <s v="NO"/>
    <s v="Devuelto"/>
    <x v="2"/>
    <m/>
    <s v="SE DEVUELVE PORQUE NO TENIA CDP"/>
    <d v="2022-01-17T00:00:00"/>
    <x v="5"/>
    <s v="ene"/>
    <n v="14"/>
    <n v="11"/>
    <x v="2"/>
    <s v="FUNCIONAMIENTO"/>
    <x v="0"/>
    <m/>
    <m/>
    <m/>
    <m/>
    <n v="443076766"/>
    <m/>
    <m/>
    <m/>
    <m/>
    <m/>
    <m/>
    <m/>
    <m/>
    <m/>
    <x v="1"/>
    <m/>
    <m/>
  </r>
  <r>
    <n v="22"/>
    <s v="0022"/>
    <x v="6"/>
    <d v="2022-01-03T00:00:00"/>
    <x v="1"/>
    <s v="GTI0081"/>
    <s v="FR-200-GTI-0007-2022"/>
    <s v="N/A"/>
    <s v="Prestar el servicio de soporte, actualización y suscripción de la solución de seguridad de datos OneGate, para el módulo FIDO2 y la licencia para 2400 usuarios concurrentes adquiridas previamente a perpetuidad por EMCALI EICE."/>
    <n v="114000000"/>
    <s v="30 de abril 2022"/>
    <m/>
    <s v=""/>
    <s v="PENDIENTE"/>
    <m/>
    <s v="N/A"/>
    <s v="N/A"/>
    <s v="N/A"/>
    <x v="3"/>
    <s v="PABLO CAICEDO"/>
    <d v="2022-01-06T00:00:00"/>
    <e v="#VALUE!"/>
    <e v="#VALUE!"/>
    <s v="NO"/>
    <s v="Devuelto"/>
    <x v="2"/>
    <m/>
    <s v="SE DEVUELVE PROQUE LO DEBE CONTRATAR LA MISMA AREA"/>
    <d v="2022-01-04T00:00:00"/>
    <x v="5"/>
    <s v="ene"/>
    <n v="1"/>
    <n v="-2"/>
    <x v="2"/>
    <s v="FUNCIONAMIENTO"/>
    <x v="0"/>
    <m/>
    <m/>
    <m/>
    <m/>
    <n v="114000000"/>
    <m/>
    <m/>
    <m/>
    <m/>
    <m/>
    <m/>
    <m/>
    <m/>
    <m/>
    <x v="1"/>
    <m/>
    <m/>
  </r>
  <r>
    <n v="23"/>
    <s v="0023"/>
    <x v="5"/>
    <d v="2022-01-03T00:00:00"/>
    <x v="1"/>
    <s v="GHA0044"/>
    <s v="FR-800-GAGHA-0081-2022"/>
    <s v="N/A"/>
    <s v="Realizar el mantenimiento y reparación de 49 vallas adscritas a la Unidad de Seguridad Fisica y Electrónica."/>
    <n v="8300012"/>
    <s v="31 DE DICIEMBRE 2022"/>
    <s v="900-IP-0071-2021"/>
    <m/>
    <n v="20220919"/>
    <n v="333219580"/>
    <s v="N/A"/>
    <s v="N/A"/>
    <m/>
    <x v="2"/>
    <s v="MARIO AREVALO"/>
    <d v="2022-01-12T00:00:00"/>
    <m/>
    <m/>
    <m/>
    <s v="Entregado al area"/>
    <x v="1"/>
    <s v="12 DE ENERO LLEGARON LOS _x000a_21 DE ENERO EN REVISION DE LA FPA E INVITACION_x000a_24 DE ENERO EN RECEPCION DE OFERTAS_x000a_26 DE ENERO EN REVISION DE LA EVALUACION_x000a_28 DE ENERO EN RP Y POLIZAS"/>
    <m/>
    <d v="2022-02-07T00:00:00"/>
    <x v="2"/>
    <m/>
    <n v="35"/>
    <n v="26"/>
    <x v="2"/>
    <s v="FUNCIONAMIENTO"/>
    <x v="19"/>
    <d v="2022-01-26T00:00:00"/>
    <n v="8300012"/>
    <s v="LILI JOHANA SERNA MACHADO"/>
    <m/>
    <n v="0"/>
    <m/>
    <m/>
    <s v="N/A"/>
    <s v="N/A"/>
    <m/>
    <s v="CALI"/>
    <s v="LOCAL"/>
    <m/>
    <n v="0"/>
    <x v="1"/>
    <n v="1"/>
    <n v="24"/>
  </r>
  <r>
    <n v="24"/>
    <s v="0024"/>
    <x v="5"/>
    <d v="2022-01-03T00:00:00"/>
    <x v="1"/>
    <s v="GHA0045"/>
    <s v="FR-800-GAGHA-0083-2022"/>
    <s v="N/A"/>
    <s v="Prestar el servicio de impresión de Carnés Institucionales con Insumos para la identificación del personal vinculado EMCALI EICE ESP."/>
    <n v="33046757"/>
    <s v="31 DE DICIEMBRE 2022"/>
    <s v="900-IP-0070-2021"/>
    <m/>
    <n v="202201119"/>
    <n v="33100000"/>
    <s v="N/A"/>
    <s v="N/A"/>
    <m/>
    <x v="2"/>
    <s v="MARIO AREVALO"/>
    <d v="2022-01-12T00:00:00"/>
    <m/>
    <m/>
    <m/>
    <s v="Entregado al area"/>
    <x v="1"/>
    <s v="21 DE ENERO EN REVISION DE LA FPA E INVITACION_x000a_24 DE ENERO EN RECEPCION DE OFERTAS_x000a_28 DE ENERO EN RP Y POLIZAS"/>
    <m/>
    <d v="2022-02-15T00:00:00"/>
    <x v="2"/>
    <m/>
    <n v="43"/>
    <n v="34"/>
    <x v="2"/>
    <s v="FUNCIONAMIENTO"/>
    <x v="20"/>
    <d v="2022-01-27T00:00:00"/>
    <n v="32870684"/>
    <s v="IDENTIFICACION DE COLOMBIA SAS"/>
    <m/>
    <n v="176073"/>
    <m/>
    <m/>
    <s v="N/A"/>
    <s v="N/A"/>
    <m/>
    <s v="CALI"/>
    <s v="LOCAL"/>
    <m/>
    <n v="5.3279963295641986E-3"/>
    <x v="1"/>
    <n v="1"/>
    <n v="30"/>
  </r>
  <r>
    <n v="25"/>
    <s v="0025"/>
    <x v="5"/>
    <d v="2022-01-05T00:00:00"/>
    <x v="1"/>
    <s v="GHA0192"/>
    <s v="FR-800-GAGHA-0096-2022"/>
    <s v="N/A"/>
    <s v="Prestación de servicios de un proveedor tecnológico autorizado por la Dirección de Impuestos y Aduanas Nacionales (DIAN) para la generación, transmisión y validación de los documentos soporte de pago de nómina electrónica y notas de ajuste del documento soporte de pago de nómina electrónica, en los términos, condiciones, mecanismos técnicos y tecnológicos, establecidos por la DIAN, en la Resolución No 000013 del 11 de febrero de 2021 &quot; por la cual se implementa y desarrolla en el sistema de facturación electrónica la funcionalidad del documento soporte de pago de nómina electrónica y se adopta el anexo técnico para este documento&quot; y reglamentaciones vigentes al momento de la ejecución del contrato y las demás normas que la modifiquen, adicionen o sustituyan."/>
    <n v="11842000"/>
    <s v="10 meses"/>
    <s v="900-IP-0062-2022"/>
    <m/>
    <n v="202200783"/>
    <m/>
    <s v="N/A"/>
    <s v="N/A"/>
    <m/>
    <x v="2"/>
    <s v="CRISTHIAN BURBANO"/>
    <d v="2022-01-05T00:00:00"/>
    <m/>
    <m/>
    <m/>
    <s v="Entregado al area"/>
    <x v="1"/>
    <s v="24 DE ENERO EN APROBACION DE POLIZAS_x000a_26 DE ENERO CONTRATADO_x000a_"/>
    <m/>
    <d v="2022-01-28T00:00:00"/>
    <x v="2"/>
    <m/>
    <n v="23"/>
    <n v="23"/>
    <x v="2"/>
    <s v="FUNCIONAMIENTO"/>
    <x v="21"/>
    <d v="2022-01-07T00:00:00"/>
    <n v="11795189"/>
    <s v="CARVAJAL TECNOLOGIA  Y SERVICIO SAS"/>
    <m/>
    <n v="46811"/>
    <m/>
    <m/>
    <s v="N/A"/>
    <s v="N/A"/>
    <m/>
    <s v="CALI"/>
    <s v="LOCAL"/>
    <m/>
    <n v="3.952964026346901E-3"/>
    <x v="1"/>
    <n v="1"/>
    <n v="16"/>
  </r>
  <r>
    <n v="26"/>
    <s v="0026"/>
    <x v="1"/>
    <d v="2022-01-06T00:00:00"/>
    <x v="1"/>
    <s v="GE0273"/>
    <s v="FR-500-GE-0104-2022"/>
    <s v="N/A"/>
    <s v="Publicación de tarifas de:_x000a_-Energía para el mercado regulado, aplicables a consumos de mes para usuarios del sector residencial y no residencial de Cali, Yumbo y Puerto Tejada, año 2022._x000a_-Calibración de medidores de energía y transformadores de medida, para la vigencia 2022._x000a_-Cargos asociados con la conexión del Servicio Público domiciliario de electricidad de la Gerencia Unidad Estratégica Negocio Energía, vigencia 2022."/>
    <n v="37052900"/>
    <s v="31  de diciembre 2022"/>
    <s v="900-IP-0069-2022"/>
    <m/>
    <s v="202200905_x000a_202200906_x000a_202200907"/>
    <m/>
    <s v="N/A"/>
    <s v="N/A"/>
    <m/>
    <x v="2"/>
    <s v="PAOLA BELTRAN"/>
    <d v="2021-01-06T00:00:00"/>
    <m/>
    <m/>
    <m/>
    <s v="Entregado al area"/>
    <x v="1"/>
    <s v="21 DE ENERO EN COTIZACIONES_x000a_24 de enero en solicitud de polizas y rp_x000a_26 DE ENERO EN APROBACION DE POLIZAS_x000a_28 DE ENRO EN APROBACION DE POLIZAS"/>
    <m/>
    <d v="2022-01-28T00:00:00"/>
    <x v="2"/>
    <m/>
    <n v="22"/>
    <n v="387"/>
    <x v="2"/>
    <s v="FUNCIONAMIENTO"/>
    <x v="22"/>
    <d v="2022-01-21T00:00:00"/>
    <n v="36212000"/>
    <s v="NUEVO DIARIO DE OCCIDENTE SAS"/>
    <m/>
    <n v="840900"/>
    <m/>
    <m/>
    <s v="N/A"/>
    <s v="N/A"/>
    <m/>
    <s v="CALI"/>
    <s v="LOCAL"/>
    <m/>
    <n v="2.2694579911423936E-2"/>
    <x v="0"/>
    <n v="1"/>
    <n v="15"/>
  </r>
  <r>
    <n v="27"/>
    <s v="0027"/>
    <x v="5"/>
    <d v="2022-01-07T00:00:00"/>
    <x v="1"/>
    <s v="GHA0073_x000a_GHA0074"/>
    <s v="FR-800-GAGHA-0074-2022"/>
    <s v="N/A"/>
    <s v="Contar con la atención integral de aires acondicionados  y sistemas de refrigeración: realizar el mantenimiento preventivo, correctivo y actividades complementarias en los equipos de aires acondicionados y sitemas de refrigeración de EMCALI EICE ESP."/>
    <n v="162036036"/>
    <s v="30 de abril 2022"/>
    <s v="900-IP-0067-2021"/>
    <s v="IP-"/>
    <n v="202201175"/>
    <n v="162036036"/>
    <s v="N/A"/>
    <s v="N/A"/>
    <s v="N/A"/>
    <x v="2"/>
    <s v="MARIO AREVALO"/>
    <d v="2022-01-11T00:00:00"/>
    <e v="#VALUE!"/>
    <e v="#VALUE!"/>
    <s v="NO"/>
    <s v="Devuelto"/>
    <x v="2"/>
    <m/>
    <s v="21 DE ENERO EN REVISION DE LA FPA E INVITACION_x000a_24 DE ENERO EN RECEPCION DE OFERTAS_x000a_26 DE ENERO  DEVUELTO POR SOLICITUD DEL GERENTE"/>
    <d v="2022-01-26T00:00:00"/>
    <x v="5"/>
    <s v="ene"/>
    <n v="19"/>
    <n v="15"/>
    <x v="2"/>
    <s v="FUNCIONAMIENTO"/>
    <x v="0"/>
    <m/>
    <m/>
    <m/>
    <m/>
    <n v="162036036"/>
    <m/>
    <m/>
    <m/>
    <m/>
    <m/>
    <m/>
    <m/>
    <m/>
    <m/>
    <x v="1"/>
    <m/>
    <m/>
  </r>
  <r>
    <n v="28"/>
    <s v="0028"/>
    <x v="5"/>
    <d v="2022-01-07T00:00:00"/>
    <x v="1"/>
    <s v="GHA0085"/>
    <s v="FR-800-GAGHA-0076-2022"/>
    <s v="N/A"/>
    <s v="Realizar el suministro e instalación de baterias nuevas, en la medida de la necesidad, para el Parque Automotor de EMCALI EICE ESP."/>
    <n v="197542274"/>
    <s v="31 DE DICIEMBRE 2022"/>
    <s v="900-IP-0078-2022"/>
    <m/>
    <n v="202201823"/>
    <n v="19754227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
    <m/>
    <d v="2022-02-03T00:00:00"/>
    <x v="2"/>
    <m/>
    <n v="27"/>
    <n v="20"/>
    <x v="2"/>
    <s v="FUNCIONAMIENTO"/>
    <x v="23"/>
    <d v="2022-01-27T00:00:00"/>
    <n v="197542274"/>
    <s v="COMPAÑÍA PARA LA CONSTRUCCION ESTUFDIOS TECNICOS MAQUINARIA Y MANTENIMIENTO PARA LA INGENIERIA  ARQUITECTURA Y OBRAS CIVILES SAS"/>
    <m/>
    <n v="0"/>
    <m/>
    <m/>
    <s v="2021-380"/>
    <d v="2022-01-21T00:00:00"/>
    <m/>
    <s v="CALI"/>
    <s v="LOCAL"/>
    <m/>
    <n v="0"/>
    <x v="1"/>
    <n v="1"/>
    <n v="18"/>
  </r>
  <r>
    <n v="29"/>
    <s v="0029"/>
    <x v="5"/>
    <d v="2022-01-07T00:00:00"/>
    <x v="1"/>
    <s v="GHA0090"/>
    <s v="FR-800-GAGHA-0086-2022"/>
    <s v="N/A"/>
    <s v="Realizar la reparación de las llantas de los vehículos que conforman el Parque Automotor de EMCALI EICE ESP, que lo requieran. (vehículos livianos, medianos, pesados, equipos de Presión Succión y Maquinaria Amarilla)"/>
    <n v="122910984"/>
    <s v="31 DE DICIEMBRE 2022"/>
    <s v="900-IP-0079-2022"/>
    <m/>
    <n v="202201826"/>
    <n v="122910984"/>
    <s v="N/A"/>
    <s v="N/A"/>
    <m/>
    <x v="2"/>
    <s v="LEIDY FRANCO"/>
    <d v="2022-01-14T00:00:00"/>
    <m/>
    <m/>
    <m/>
    <s v="Entregado al area"/>
    <x v="1"/>
    <s v="21 de enero en solcitiud de cotizaciones_x000a_24 DE ENERO SE RECIBEN LAS COTIZACIONES_x000a_26 de enero en recepcion de ofertas_x000a_28 de enero en mumeracion de la aceptacion_x000a_En aprobacion de polizas_x000a__x000a_"/>
    <m/>
    <d v="2022-02-01T00:00:00"/>
    <x v="2"/>
    <m/>
    <n v="25"/>
    <n v="18"/>
    <x v="2"/>
    <s v="FUNCIONAMIENTO"/>
    <x v="24"/>
    <d v="2022-01-27T00:00:00"/>
    <n v="122910984"/>
    <s v="VULCANIZADORA DE LA CRUZ"/>
    <m/>
    <n v="0"/>
    <m/>
    <m/>
    <s v="N/A"/>
    <s v="N/A"/>
    <m/>
    <s v="CALI"/>
    <s v="LOCAL"/>
    <m/>
    <n v="0"/>
    <x v="1"/>
    <n v="1"/>
    <n v="16"/>
  </r>
  <r>
    <n v="30"/>
    <s v="0030"/>
    <x v="5"/>
    <d v="2022-01-07T00:00:00"/>
    <x v="1"/>
    <s v="GHA0091"/>
    <s v="FR-800-GAGHA-0088-2022"/>
    <s v="N/A"/>
    <s v="Compra de repuestos varios y/o misceláneos requeridos para atender fallas menores del Parque Automotor de EMCALI EICE ESP."/>
    <n v="258750040"/>
    <s v="31 DE DICIEMBRE 2022"/>
    <s v="900-IP-0081-2021"/>
    <m/>
    <n v="202201827"/>
    <n v="258750040"/>
    <s v="N/A"/>
    <s v="N/A"/>
    <m/>
    <x v="2"/>
    <s v="LINA ECHAVARRIA"/>
    <d v="2022-01-19T00:00:00"/>
    <m/>
    <m/>
    <m/>
    <s v="Entregado al area"/>
    <x v="1"/>
    <s v="Se le reasigna proceso a Lina Echavarria el 19 de enero 2022_x000a_21 de enero en espera de la cotizacion_x000a_24 DE ENERO HOY SE RECIBE LA COTIZACION_x000a_26 DE ENERO EN ESPERA DE LA FIRMA DE LA INVITACION_x000a_28 DE ENERO PARA FIRMA DE LA ACEPTACION DE LA OFERTA_x000a_a la espera de la numeracion de la aceptacion"/>
    <m/>
    <d v="2022-02-08T00:00:00"/>
    <x v="2"/>
    <m/>
    <n v="32"/>
    <n v="20"/>
    <x v="1"/>
    <s v="FUNCIONAMIENTO"/>
    <x v="25"/>
    <d v="2022-01-28T00:00:00"/>
    <n v="258750040"/>
    <s v="CENTRO AUTOMOTRIZ DE REPARACION  Y SERVICIOS LTDA  CARS LTDA"/>
    <m/>
    <n v="0"/>
    <m/>
    <m/>
    <s v="2021-369"/>
    <d v="2021-12-14T00:00:00"/>
    <m/>
    <s v="CALI"/>
    <s v="LOCAL"/>
    <m/>
    <n v="0"/>
    <x v="1"/>
    <n v="1"/>
    <n v="21"/>
  </r>
  <r>
    <n v="31"/>
    <s v="0031"/>
    <x v="5"/>
    <d v="2022-01-07T00:00:00"/>
    <x v="1"/>
    <s v="GHA0076"/>
    <s v="FR-800-GAGHA-0089-2022"/>
    <s v="800-CMA-1925-2021"/>
    <s v="Realizar las actividades necesarias para llevar a cabo las adecuaciones locativas y mantenimiento preventivos y correctivos en las sedes pertenecientes al corporativo de EMCALI."/>
    <n v="158917154"/>
    <s v="29 de abril 2022"/>
    <s v="N/A"/>
    <m/>
    <n v="202201177"/>
    <n v="158917154"/>
    <s v="N/A"/>
    <s v="N/A"/>
    <m/>
    <x v="1"/>
    <s v="FRANCIA RAMÍREZ"/>
    <d v="2022-01-11T00:00:00"/>
    <m/>
    <m/>
    <m/>
    <s v="Entregado al area"/>
    <x v="1"/>
    <s v="21 DE ENERO EN REVISION DE LA INVITACION"/>
    <m/>
    <d v="2022-02-16T00:00:00"/>
    <x v="6"/>
    <m/>
    <n v="40"/>
    <n v="36"/>
    <x v="0"/>
    <s v="FUNCIONAMIENTO"/>
    <x v="26"/>
    <d v="2022-02-08T00:00:00"/>
    <n v="150971296"/>
    <s v="CONSORCIO DOMAQ 2021"/>
    <m/>
    <n v="7945858"/>
    <m/>
    <m/>
    <s v="N/A"/>
    <s v="N/A"/>
    <m/>
    <s v="CALI"/>
    <s v="LOCAL"/>
    <m/>
    <n v="5.000000188777607E-2"/>
    <x v="1"/>
    <n v="0"/>
    <n v="40"/>
  </r>
  <r>
    <n v="32"/>
    <s v="0032"/>
    <x v="5"/>
    <d v="2022-01-07T00:00:00"/>
    <x v="1"/>
    <s v="GHA0194"/>
    <s v="FR-800-GAGHA-0090-2022"/>
    <s v="800-CMA-1914-2021"/>
    <s v="Realizar las actividades necesarias para llevar a cabo las adecuaciones locativas y mantenimiento preventivos y correctivos en la Gerencia de Unidad Estrategica de Negocio de Acueducto y Alcantarillado - Centro Operativo Navarro."/>
    <n v="196936886"/>
    <s v="29 de abril 2022"/>
    <s v="N/A"/>
    <m/>
    <n v="202201178"/>
    <n v="196936885"/>
    <s v="N/A"/>
    <s v="N/A"/>
    <m/>
    <x v="1"/>
    <s v="FRANCIA RAMÍREZ"/>
    <d v="2022-01-11T00:00:00"/>
    <m/>
    <m/>
    <m/>
    <s v="Entregado al area"/>
    <x v="1"/>
    <s v="21 DE ENERO EN REVISION DE LA INVITACION"/>
    <m/>
    <d v="2022-02-22T00:00:00"/>
    <x v="6"/>
    <m/>
    <n v="46"/>
    <n v="42"/>
    <x v="0"/>
    <s v="FUNCIONAMIENTO"/>
    <x v="27"/>
    <d v="2022-02-08T00:00:00"/>
    <n v="187090041"/>
    <s v="UNION TEMPORAL M&amp;C2021"/>
    <m/>
    <n v="9846845"/>
    <m/>
    <m/>
    <s v="N/A"/>
    <s v="N/A"/>
    <m/>
    <s v="CALI"/>
    <s v="LOCAL"/>
    <m/>
    <n v="5.0000003554438247E-2"/>
    <x v="1"/>
    <n v="0"/>
    <n v="46"/>
  </r>
  <r>
    <n v="33"/>
    <s v="0033"/>
    <x v="5"/>
    <d v="2022-01-07T00:00:00"/>
    <x v="1"/>
    <s v="GHA0201"/>
    <s v="FR-800-GAGHA-0091-2022"/>
    <s v="800-CMA-1916-2021"/>
    <s v="Realizar las actividades necesarias para llevar a cabo las adecuaciones locativas y mantenimiento preventivos y correctivos en la Gerencia de Unidad Estrategica de Negocio de Energía."/>
    <n v="311587783"/>
    <s v="51 dias"/>
    <s v="N/A"/>
    <m/>
    <n v="202201182"/>
    <n v="312485031"/>
    <s v="N/A"/>
    <s v="N/A"/>
    <m/>
    <x v="1"/>
    <s v="FRANCIA RAMÍREZ"/>
    <d v="2022-01-11T00:00:00"/>
    <m/>
    <m/>
    <m/>
    <s v="Entregado al area"/>
    <x v="1"/>
    <s v="21 DE ENERO ESPERANDO LA MODIFICACION DEL FORMULARIO DE PRECIOS Y CANTIDADES"/>
    <m/>
    <d v="2022-02-18T00:00:00"/>
    <x v="6"/>
    <m/>
    <n v="42"/>
    <n v="38"/>
    <x v="0"/>
    <s v="FUNCIONAMIENTO"/>
    <x v="28"/>
    <d v="2022-02-08T00:00:00"/>
    <n v="296008394"/>
    <s v="CONSORCIO IGS 2021"/>
    <m/>
    <n v="15579389"/>
    <m/>
    <m/>
    <s v="N/A"/>
    <s v="N/A"/>
    <m/>
    <s v="CALI"/>
    <s v="LOCAL"/>
    <m/>
    <n v="4.9999999518594733E-2"/>
    <x v="1"/>
    <n v="0"/>
    <n v="42"/>
  </r>
  <r>
    <n v="34"/>
    <s v="0034"/>
    <x v="5"/>
    <d v="2022-01-07T00:00:00"/>
    <x v="1"/>
    <s v="GHA0199"/>
    <s v="FR-800-GAGHA-0092-2022"/>
    <s v="800-CMA-1913-2021"/>
    <s v="Realizar las actividades necesarias para llevar a cabo las adecuaciones locativas y matenimientos preventivos y correctivos en la Gerencia de Unidad Estrategica de Negocio de Telecomunicaciones."/>
    <n v="440961155"/>
    <s v="31 de juniio 2022"/>
    <s v="N/A"/>
    <m/>
    <n v="202201181"/>
    <n v="445135271"/>
    <s v="N/A"/>
    <s v="N/A"/>
    <m/>
    <x v="1"/>
    <s v="FRANCIA RAMÍREZ"/>
    <d v="2022-01-11T00:00:00"/>
    <m/>
    <m/>
    <m/>
    <s v="Entregado al area"/>
    <x v="1"/>
    <s v="21 DE ENERO ESPERANDO LA MODIFICACION DEL FORMULARIO DE PRECIOS Y CANTIDADES"/>
    <m/>
    <d v="2022-02-25T00:00:00"/>
    <x v="6"/>
    <m/>
    <n v="49"/>
    <n v="45"/>
    <x v="0"/>
    <s v="FUNCIONAMIENTO"/>
    <x v="29"/>
    <d v="2022-02-08T00:00:00"/>
    <n v="418913098"/>
    <s v="GUSTAVO ADOLFO TORRES DUARTE"/>
    <m/>
    <n v="22048057"/>
    <m/>
    <m/>
    <s v="N/A"/>
    <s v="N/A"/>
    <m/>
    <s v="BOGOTA"/>
    <s v="NACIONAL"/>
    <m/>
    <n v="4.9999998299169915E-2"/>
    <x v="1"/>
    <n v="0"/>
    <n v="49"/>
  </r>
  <r>
    <n v="35"/>
    <s v="0035"/>
    <x v="5"/>
    <d v="2022-01-07T00:00:00"/>
    <x v="1"/>
    <s v="GHA0195_x000a_GHA0197"/>
    <s v="FR-800-GAGHA-0093-2022"/>
    <s v="800-CMA-1914-2021"/>
    <s v="Realizar las actividades necesarias para llevar a cabo las adecuaciones locativas y mantenimiento preventivos y correctivos"/>
    <n v="457147463"/>
    <s v="30 de junio 2022"/>
    <s v="N/A"/>
    <m/>
    <s v="202201179_x000a_202201180"/>
    <n v="457250820"/>
    <s v="N/A"/>
    <s v="N/A"/>
    <m/>
    <x v="1"/>
    <s v="FRANCIA RAMÍREZ"/>
    <d v="2022-01-11T00:00:00"/>
    <m/>
    <m/>
    <m/>
    <s v="Entregado al area"/>
    <x v="1"/>
    <s v="21 DE ENERO ESPERANDO LA MODIFICACION DEL FORMULARIO DE PRECIOS Y CANTIDADES"/>
    <m/>
    <d v="2022-02-16T00:00:00"/>
    <x v="6"/>
    <m/>
    <n v="40"/>
    <n v="36"/>
    <x v="0"/>
    <s v="FUNCIONAMIENTO"/>
    <x v="30"/>
    <d v="2022-02-08T00:00:00"/>
    <n v="434290090"/>
    <s v="UNION TEMPORAL  M&amp;C2021"/>
    <m/>
    <n v="22857373"/>
    <m/>
    <m/>
    <s v="N/A"/>
    <s v="N/A"/>
    <m/>
    <s v="CALI"/>
    <s v="LOCAL"/>
    <m/>
    <n v="4.9999999671878306E-2"/>
    <x v="1"/>
    <n v="0"/>
    <n v="40"/>
  </r>
  <r>
    <n v="36"/>
    <s v="0036"/>
    <x v="2"/>
    <d v="2022-01-13T00:00:00"/>
    <x v="1"/>
    <s v="GAA0222"/>
    <s v="FR-300-GAA-0004-2022"/>
    <s v="300-CMA-1714-2019"/>
    <s v="Suministro de Alcalinizante para las Plantas de Tratamiento de Agua Potable de la Unidad de Producción de Agua Potable: Cal Viva."/>
    <n v="346040503"/>
    <s v="31 DE DICIEMBRE 2022"/>
    <s v="N/A"/>
    <m/>
    <n v="202200899"/>
    <n v="390508020"/>
    <s v="N/A"/>
    <s v="N/A"/>
    <m/>
    <x v="1"/>
    <s v="LUCY ARBELAEZ"/>
    <d v="2022-01-13T00:00:00"/>
    <m/>
    <m/>
    <m/>
    <s v="Entregado al area"/>
    <x v="1"/>
    <m/>
    <m/>
    <d v="2022-02-16T00:00:00"/>
    <x v="6"/>
    <m/>
    <n v="34"/>
    <n v="34"/>
    <x v="0"/>
    <s v="OPERACIÓN"/>
    <x v="31"/>
    <d v="2022-01-25T00:00:00"/>
    <n v="328131896"/>
    <s v="CALES DE COLOMBIA SA"/>
    <m/>
    <n v="17908607"/>
    <m/>
    <m/>
    <s v="N/A"/>
    <s v="N/A"/>
    <m/>
    <s v="MEDELLIN"/>
    <s v="NACIONAL"/>
    <m/>
    <n v="5.1752921535893157E-2"/>
    <x v="0"/>
    <n v="0"/>
    <n v="34"/>
  </r>
  <r>
    <n v="37"/>
    <s v="0037"/>
    <x v="5"/>
    <d v="2022-01-14T00:00:00"/>
    <x v="1"/>
    <s v="GHA0048"/>
    <s v="FR-800-GAGHA-0097-2022"/>
    <s v="N/A"/>
    <s v="Suministrar dotación de calzado a los Servidores Públicos de EMCALI EICE ESP."/>
    <n v="463917000"/>
    <s v="29 de abril 2022"/>
    <s v="900-IP-0091-2022"/>
    <m/>
    <n v="202200920"/>
    <n v="463917000"/>
    <s v="N/A"/>
    <s v="N/A"/>
    <m/>
    <x v="2"/>
    <s v="PABLO CAICEDO"/>
    <d v="2022-01-17T00:00:00"/>
    <m/>
    <m/>
    <m/>
    <s v="Entregado al area"/>
    <x v="1"/>
    <s v="21 de enero se envio a marcia para la revision de la invitacion _x000a_24 DE ENERO EN INVITACION A OFERTAR_x000a_25 de enero en aceptacion de la oferta_x000a_26 de enero para la firma de la aceptacion de la oferta_x000a_28 DE ENERO EN SOLICITUD DE REGISTRO Y POLIZAS"/>
    <m/>
    <d v="2022-02-07T00:00:00"/>
    <x v="2"/>
    <m/>
    <n v="24"/>
    <n v="21"/>
    <x v="2"/>
    <s v="FUNCIONAMIENTO"/>
    <x v="32"/>
    <d v="2022-01-27T00:00:00"/>
    <n v="463146394"/>
    <s v="STATON SAS"/>
    <m/>
    <n v="770606"/>
    <m/>
    <m/>
    <s v="2021-375"/>
    <s v="20 de diciembre 2021"/>
    <m/>
    <s v="BOGOTA"/>
    <s v="NACIONAL"/>
    <m/>
    <n v="1.661085927008495E-3"/>
    <x v="1"/>
    <n v="1"/>
    <n v="16"/>
  </r>
  <r>
    <n v="38"/>
    <s v="0038"/>
    <x v="5"/>
    <d v="2022-01-14T00:00:00"/>
    <x v="1"/>
    <s v="GHA0055"/>
    <s v="FR-800-GAGHA-0098-2022"/>
    <s v="N/A"/>
    <s v="Prestar los servicios para la realización de las pruebas diagnósticas, evaluaciones médicas pre ocupacionales o de pre ingreso, ocupacionales periódicas y pos ocupacional o de egreso, con el propósito de determinar las condiciones de salud física, mental y social de los servidores públicos, contratistas por prestación de servicio, aprendices y del personal que va a ingresar a EMCALI."/>
    <n v="323631500"/>
    <s v="31 DE DICIEMBRE 2022"/>
    <s v="900-IP-0112-2022"/>
    <m/>
    <n v="202201166"/>
    <n v="405622000"/>
    <s v="N/A"/>
    <s v="N/A"/>
    <m/>
    <x v="2"/>
    <s v="JULIO GARCIA"/>
    <d v="2022-01-17T00:00:00"/>
    <m/>
    <m/>
    <m/>
    <s v="Entregado al area"/>
    <x v="1"/>
    <s v="21 DE ENERO EN REVISION DE LA COTIZACIONES_x000a_24 DE ENERO SE RECIBEN COTIZACIONES_x000a_26 DE ENERO EN ELABORACION DE LA  EVALUACION _x000a_28 de enero en revision de evaluacion"/>
    <m/>
    <d v="2022-02-08T00:00:00"/>
    <x v="2"/>
    <m/>
    <n v="25"/>
    <n v="22"/>
    <x v="2"/>
    <s v="FUNCIONAMIENTO"/>
    <x v="33"/>
    <d v="2022-01-26T00:00:00"/>
    <n v="323631500"/>
    <s v="UNIDAD DE SALUD OCUPACIONAL SAS"/>
    <m/>
    <n v="0"/>
    <m/>
    <m/>
    <s v="N/A"/>
    <s v="N/A"/>
    <m/>
    <s v="CALI"/>
    <s v="LOCAL"/>
    <m/>
    <n v="0"/>
    <x v="1"/>
    <n v="1"/>
    <n v="17"/>
  </r>
  <r>
    <n v="39"/>
    <s v="0039"/>
    <x v="5"/>
    <d v="2022-01-14T00:00:00"/>
    <x v="1"/>
    <s v="GHA0216"/>
    <s v="FR-800-GAGHA-0094-2022"/>
    <s v="N/A"/>
    <s v="Compra de articulos de papelería (cajas de archivo No 12) para las dependencias de EMCALI EICE ESP."/>
    <n v="23902221"/>
    <s v="15 de marzo 2022"/>
    <s v="900-IP-0076-2022"/>
    <m/>
    <n v="202201123"/>
    <n v="23920000"/>
    <s v="N/A"/>
    <s v="N/A"/>
    <m/>
    <x v="2"/>
    <s v="JULIO GARCIA"/>
    <d v="2022-01-17T00:00:00"/>
    <m/>
    <m/>
    <m/>
    <s v="Entregado al area"/>
    <x v="1"/>
    <s v="21 DE ENERO EN REVISION DE LA INVITACION_x000a_24 DE ENERO EN RECEPCION DE OFERTAS_x000a_26 DE ENERO EN APROBACION DE POLIZAS_x000a_28 de enero entregado al area"/>
    <m/>
    <d v="2022-01-27T00:00:00"/>
    <x v="2"/>
    <m/>
    <n v="13"/>
    <n v="10"/>
    <x v="2"/>
    <s v="FUNCIONAMIENTO"/>
    <x v="34"/>
    <d v="2022-01-24T00:00:00"/>
    <n v="23319240"/>
    <s v="AS DISTRIBUCION INSTITUCIONAL SAS"/>
    <m/>
    <n v="582981"/>
    <m/>
    <m/>
    <s v="2022-015"/>
    <s v="7 de enero 2022"/>
    <m/>
    <s v="CALI"/>
    <s v="LOCAL"/>
    <m/>
    <n v="2.4390243902439025E-2"/>
    <x v="1"/>
    <n v="1"/>
    <n v="9"/>
  </r>
  <r>
    <n v="40"/>
    <s v="0040"/>
    <x v="5"/>
    <d v="2022-01-14T00:00:00"/>
    <x v="1"/>
    <s v="GHA0061"/>
    <s v="FR-800-GAGHA-0100-2022"/>
    <s v="N/A"/>
    <s v="Realizar toma de pruebas de alcohol, pruebas de sustancias psicoactivas y verificación de las pruebas."/>
    <n v="82946029"/>
    <s v="31 DE DICIEMBRE 2022"/>
    <s v="900-IP-0106-2021"/>
    <m/>
    <n v="202201167"/>
    <n v="83000000"/>
    <s v="N/A"/>
    <s v="N/A"/>
    <m/>
    <x v="2"/>
    <s v="MARIO AREVALO"/>
    <d v="2022-01-19T00:00:00"/>
    <m/>
    <m/>
    <m/>
    <s v="Entregado al area"/>
    <x v="1"/>
    <s v="19 DE ENERO 2022 REASIGNARON EL PROCESO A MARIO AREVALO_x000a_21 DE ENERO EN COTIZACIONES_x000a_24 DE ENERO SE RECIBEN LAS COTIZACIONES_x000a_26 DE ENERO EN RECEPCION DE OFERTAS_x000a_28 DE ENERO EN REVISION DE LA  EVALUACION "/>
    <m/>
    <d v="2022-02-10T00:00:00"/>
    <x v="2"/>
    <m/>
    <n v="27"/>
    <n v="22"/>
    <x v="2"/>
    <s v="FUNCIONAMIENTO"/>
    <x v="35"/>
    <d v="2022-01-28T00:00:00"/>
    <n v="67030000"/>
    <s v="CEMSO SAS"/>
    <m/>
    <n v="15916029"/>
    <m/>
    <m/>
    <s v="N/A"/>
    <s v="N/A"/>
    <m/>
    <s v="CALI"/>
    <s v="LOCAL"/>
    <m/>
    <n v="0.19188415879438905"/>
    <x v="1"/>
    <n v="1"/>
    <n v="19"/>
  </r>
  <r>
    <n v="41"/>
    <s v="0041"/>
    <x v="5"/>
    <d v="2022-01-14T00:00:00"/>
    <x v="1"/>
    <s v="GHA0087"/>
    <s v="FR-800-GAGHA-0075-2022"/>
    <s v="N/A"/>
    <s v="Garantizar el suministro de repuestos requeridos para llevar a cabo mantenimientos correctivos y/o preventivos a los equipos de Presión - Succión que hacen parte del Parque Automotor de EMCALI EICE ESP"/>
    <n v="130598474"/>
    <s v="30 de junio 2022"/>
    <s v="900-IP-0080-2021"/>
    <m/>
    <n v="202201824"/>
    <n v="130598474"/>
    <s v="N/A"/>
    <s v="N/A"/>
    <m/>
    <x v="2"/>
    <s v="LINA ECHAVARRIA"/>
    <d v="2022-01-19T00:00:00"/>
    <m/>
    <m/>
    <m/>
    <s v="Entregado al area"/>
    <x v="1"/>
    <s v="se reasigna proceso a lina echavarria el 19 de enero 2021_x000a_21 de enero en espera de la cotizacion_x000a_24 DE ENERO EN REVISION DE LA FPA_x000a_26 DE ENERO EN REVISION DE LA EVALUACION_x000a_28 DE ENERO EN APROBACION DE POLIZAS Y A LA ESPERA DEL RP"/>
    <m/>
    <d v="2022-02-08T00:00:00"/>
    <x v="2"/>
    <m/>
    <n v="25"/>
    <n v="20"/>
    <x v="2"/>
    <s v="FUNCIONAMIENTO"/>
    <x v="36"/>
    <d v="2022-01-27T00:00:00"/>
    <n v="130598474"/>
    <s v="SERVICIOS TECNICOS E INGENIERIA (SETINGE LTDA)"/>
    <m/>
    <n v="0"/>
    <m/>
    <m/>
    <s v="2021-368"/>
    <d v="2021-12-14T00:00:00"/>
    <m/>
    <s v="BOGOTA"/>
    <s v="NACIONAL"/>
    <m/>
    <n v="0"/>
    <x v="1"/>
    <n v="1"/>
    <n v="17"/>
  </r>
  <r>
    <n v="42"/>
    <s v="0042"/>
    <x v="5"/>
    <d v="2022-01-14T00:00:00"/>
    <x v="1"/>
    <s v="GHA0072"/>
    <s v="FR-800-GAGHA-0073-2022"/>
    <s v="N/A"/>
    <s v="Realizar el servicio de control de plagas que involucre cada uno de los bienes inmuebles de propiedad de EMCALI EICE ESP o que le sean entregados para su custodia, ubicados en el municipio Santiago de Cali y Municipios del área de influencia."/>
    <n v="400943404"/>
    <s v="11 meses"/>
    <s v="900-IP-0090-2021"/>
    <m/>
    <n v="202201176"/>
    <n v="401365190"/>
    <s v="N/A"/>
    <s v="N/A"/>
    <m/>
    <x v="2"/>
    <s v="MARIO AREVALO"/>
    <d v="2022-01-19T00:00:00"/>
    <m/>
    <m/>
    <m/>
    <s v="Entregado al area"/>
    <x v="1"/>
    <s v="19 DE ENERO 2022 REASIGNARON EL PROCESO A MARIO AREVALO_x000a_21 DE ENERO EN COTIZACIONES_x000a_24 DE ENERO SE RECIBEN LAS COTIZACIONES_x000a_28 DE ENERO EN ELABORACION DE LA EVALUACION"/>
    <m/>
    <d v="2022-02-08T00:00:00"/>
    <x v="2"/>
    <m/>
    <n v="25"/>
    <n v="20"/>
    <x v="2"/>
    <s v="FUNCIONAMIENTO"/>
    <x v="37"/>
    <d v="2022-01-28T00:00:00"/>
    <n v="376651270"/>
    <s v="INTERNATIONAL PETS LEANING SAS"/>
    <m/>
    <n v="24292134"/>
    <m/>
    <m/>
    <s v="N/A"/>
    <s v="N/A"/>
    <m/>
    <s v="CALI"/>
    <s v="LOCAL"/>
    <m/>
    <n v="6.0587438919434126E-2"/>
    <x v="1"/>
    <n v="1"/>
    <n v="17"/>
  </r>
  <r>
    <n v="43"/>
    <s v="0043"/>
    <x v="1"/>
    <d v="2022-01-17T00:00:00"/>
    <x v="1"/>
    <s v="GE0246"/>
    <s v="FR-500-GE-0117-2022"/>
    <s v="N/A"/>
    <s v="Suministro de radios de comunicación portatiles"/>
    <n v="338606884"/>
    <s v="60 dias"/>
    <s v="900-IP-0131-2022"/>
    <m/>
    <n v="202201685"/>
    <n v="394128000"/>
    <s v="N/A"/>
    <s v="N/A"/>
    <m/>
    <x v="2"/>
    <s v="ANA MARIA GIL"/>
    <d v="2022-01-21T00:00:00"/>
    <m/>
    <m/>
    <m/>
    <s v="Entregado al area"/>
    <x v="1"/>
    <s v="21 de enero en solicitud de conceptos_x000a_24 de enero en recepcion de cotizaciones_x000a_26 de enero en revision de la evaluacion_x000a_28 de enero en evaluacion esperando la revision de la evaluacion_x000a_26 de enero en aceptacion_x000a_en solicitud de la aceptacion de la oferta"/>
    <m/>
    <d v="2022-02-08T00:00:00"/>
    <x v="2"/>
    <m/>
    <n v="22"/>
    <n v="18"/>
    <x v="2"/>
    <s v="FUNCIONAMIENTO"/>
    <x v="38"/>
    <m/>
    <n v="335122981"/>
    <s v="RADIONET SOLUCIONES SA"/>
    <m/>
    <n v="3483903"/>
    <m/>
    <m/>
    <s v="2022-014"/>
    <d v="2022-01-07T00:00:00"/>
    <m/>
    <m/>
    <m/>
    <m/>
    <n v="1.0288931396917495E-2"/>
    <x v="0"/>
    <n v="1"/>
    <n v="16"/>
  </r>
  <r>
    <n v="44"/>
    <s v="0044"/>
    <x v="5"/>
    <d v="2022-01-18T00:00:00"/>
    <x v="1"/>
    <s v="GHA1600"/>
    <s v="FR-800-GAGHA-0095-2022"/>
    <s v="N/A"/>
    <s v="Jabon liquido espumoso para manos"/>
    <n v="199992024"/>
    <s v="30 de julio 2022"/>
    <s v="900-IP-0092-2022"/>
    <s v="IP-"/>
    <n v="202201122"/>
    <n v="200571511"/>
    <s v="N/A"/>
    <s v="N/A"/>
    <s v="N/A"/>
    <x v="2"/>
    <s v="CRISTHIAN BURBANO"/>
    <d v="2022-01-20T00:00:00"/>
    <e v="#VALUE!"/>
    <e v="#VALUE!"/>
    <s v="NO"/>
    <s v="Devuelto"/>
    <x v="2"/>
    <m/>
    <s v="24 DE ENERO SE ENVIO LA INVITACION A OFERTAR AL PROVEEDOR_x000a_27 DE ENERO SE DEVOLVIO AL AREA"/>
    <d v="2022-01-27T00:00:00"/>
    <x v="5"/>
    <s v="ene"/>
    <n v="9"/>
    <n v="7"/>
    <x v="2"/>
    <s v="FUNCIONAMIENTO"/>
    <x v="0"/>
    <m/>
    <m/>
    <m/>
    <m/>
    <n v="199992024"/>
    <m/>
    <m/>
    <m/>
    <m/>
    <m/>
    <m/>
    <m/>
    <m/>
    <m/>
    <x v="1"/>
    <m/>
    <m/>
  </r>
  <r>
    <n v="45"/>
    <s v="0045"/>
    <x v="1"/>
    <d v="2022-01-18T00:00:00"/>
    <x v="1"/>
    <s v="GE0307"/>
    <s v="FR-500-GE-0121-2022"/>
    <s v="N/A"/>
    <s v="Suministro de sello de seguridad"/>
    <n v="25456563"/>
    <s v="90 dias"/>
    <s v="900-IP-0109-2022"/>
    <m/>
    <n v="202201714"/>
    <n v="25456563"/>
    <s v="N/A"/>
    <s v="N/A"/>
    <m/>
    <x v="2"/>
    <s v="SILVIA GALINDO"/>
    <d v="2022-01-20T00:00:00"/>
    <m/>
    <m/>
    <m/>
    <s v="Entregado al area"/>
    <x v="1"/>
    <s v="24 DE ENERO EN COTIZACIONES_x000a_26 de enero en revision de la fpa e invitacion_x000a_28 DE ENERO EN RECEPCION DE OFERTAS_x000a_EN REVISION DE LA EVALUACION"/>
    <m/>
    <d v="2022-02-14T00:00:00"/>
    <x v="2"/>
    <m/>
    <n v="27"/>
    <n v="25"/>
    <x v="2"/>
    <s v="FUNCIONAMIENTO"/>
    <x v="39"/>
    <d v="2022-01-28T00:00:00"/>
    <n v="25456563"/>
    <s v="COMERCIO  INTERNACIONAL CONTENEDORES Y TRANSPORTE  SOCIEDAD  POR  ACCIONES SIMPLIFICADA"/>
    <m/>
    <n v="0"/>
    <m/>
    <m/>
    <s v="2022-023"/>
    <d v="2022-01-13T00:00:00"/>
    <m/>
    <s v="BOGOTA"/>
    <s v="NACIONAL"/>
    <m/>
    <n v="0"/>
    <x v="0"/>
    <n v="1"/>
    <n v="19"/>
  </r>
  <r>
    <n v="46"/>
    <s v="0046"/>
    <x v="1"/>
    <d v="2022-01-18T00:00:00"/>
    <x v="1"/>
    <s v="GE0278"/>
    <s v="FR-500-GE-0107-2022"/>
    <s v="N/A"/>
    <s v="Suministro de cajas hermeticas"/>
    <n v="157107757"/>
    <s v="90 dias"/>
    <s v="900-IP-0130-2022"/>
    <m/>
    <n v="202201142"/>
    <n v="309427468"/>
    <s v="N/A"/>
    <s v="N/A"/>
    <m/>
    <x v="2"/>
    <s v="ANA MARIA GIL"/>
    <d v="2022-01-21T00:00:00"/>
    <m/>
    <m/>
    <m/>
    <s v="Entregado al area"/>
    <x v="1"/>
    <s v="21 de enero en solicitud de conceptos_x000a_24 de enero en recepcion de cotizaciones_x000a_26 de enero en aceptacion_x000a_esperando revision de la aceptacion"/>
    <m/>
    <d v="2022-02-11T00:00:00"/>
    <x v="2"/>
    <m/>
    <n v="24"/>
    <n v="21"/>
    <x v="2"/>
    <s v="INVERSION"/>
    <x v="40"/>
    <d v="2022-01-28T00:00:00"/>
    <n v="157107757"/>
    <s v="SOCIEDAD INDUSTRIAL METAL ELECTRICA SAS"/>
    <m/>
    <n v="0"/>
    <m/>
    <m/>
    <s v="2021-385"/>
    <d v="2021-12-30T00:00:00"/>
    <m/>
    <s v="MEDELLIN "/>
    <s v="NACIONAL"/>
    <m/>
    <n v="0"/>
    <x v="0"/>
    <n v="1"/>
    <n v="18"/>
  </r>
  <r>
    <n v="47"/>
    <s v="0047"/>
    <x v="1"/>
    <d v="2022-01-18T00:00:00"/>
    <x v="1"/>
    <s v="GE0204"/>
    <s v="FR-500-GE-0108-2022"/>
    <s v="N/A"/>
    <s v="Suministro de modems 4G"/>
    <n v="398453055"/>
    <s v="90 dias"/>
    <s v="900-IP-0129-2022"/>
    <m/>
    <n v="202201141"/>
    <n v="398453055"/>
    <s v="N/A"/>
    <s v="N/A"/>
    <m/>
    <x v="2"/>
    <s v="ANA MARIA GIL"/>
    <d v="2022-01-21T00:00:00"/>
    <m/>
    <m/>
    <m/>
    <s v="Entregado al area"/>
    <x v="1"/>
    <s v="21 de enero en solicitud de conceptos_x000a_24 de enero en recepcion de cotizaciones_x000a_26 de enero en revision de la evaluacion_x000a_28 de enero solicitud de registro y polizas_x000a_en aprobacion de polizas"/>
    <m/>
    <d v="2022-02-07T00:00:00"/>
    <x v="2"/>
    <m/>
    <n v="20"/>
    <n v="17"/>
    <x v="2"/>
    <s v="FUNCIONAMIENTO"/>
    <x v="41"/>
    <d v="2022-01-27T00:00:00"/>
    <n v="398453055"/>
    <s v="INDUSTRIA ELECTRICA DEL CAUCA SAS"/>
    <m/>
    <n v="0"/>
    <m/>
    <m/>
    <s v="2022-004"/>
    <d v="2022-01-05T00:00:00"/>
    <m/>
    <s v="YUMBO "/>
    <s v="MUNICIPAL"/>
    <m/>
    <n v="0"/>
    <x v="0"/>
    <n v="1"/>
    <n v="14"/>
  </r>
  <r>
    <n v="48"/>
    <s v="0048"/>
    <x v="1"/>
    <d v="2022-01-18T00:00:00"/>
    <x v="1"/>
    <s v="GE0299"/>
    <s v="FR-500-GE-0110-2022"/>
    <s v="N/A"/>
    <s v="Calibración de tres (3) Hidrómetros marca Thomas Scientific Modelo ASTM 85H/86H/87H y un Termo Hidrómetro Barómetro, del Laboratorio de Ensayos a Aceites Dieléctricos de EMCALI EICE ESP."/>
    <n v="3001775"/>
    <s v="15 de diciembre 2022"/>
    <s v="900-IP-0115-2022"/>
    <m/>
    <n v="202201402"/>
    <n v="3001775"/>
    <s v="N/A"/>
    <s v="N/A"/>
    <m/>
    <x v="2"/>
    <s v="JHON LARRY "/>
    <d v="2022-01-20T00:00:00"/>
    <m/>
    <m/>
    <m/>
    <s v="Entregado al area"/>
    <x v="1"/>
    <s v="21 de enero en solicitud de conceptos_x000a_24 DE ENERO EN REVISION DE FPA E INVITACION_x000a_26 DE ENERO EN REVISION DE LA EVALUACION_x000a_27 de enero continua en evaluacin esperando los subsanables_x000a_28 de enero en solicitud de registro presupuestal"/>
    <m/>
    <d v="2022-02-09T00:00:00"/>
    <x v="2"/>
    <m/>
    <n v="22"/>
    <n v="20"/>
    <x v="2"/>
    <s v="FUNCIONAMIENTO"/>
    <x v="42"/>
    <d v="2022-01-28T00:00:00"/>
    <n v="3001775"/>
    <s v="CONAMET SAS"/>
    <m/>
    <n v="0"/>
    <m/>
    <m/>
    <s v="N/A"/>
    <s v="N/A"/>
    <m/>
    <s v="BOGOTA"/>
    <s v="NACIONAL"/>
    <m/>
    <n v="0"/>
    <x v="0"/>
    <n v="1"/>
    <n v="16"/>
  </r>
  <r>
    <n v="49"/>
    <s v="0049"/>
    <x v="1"/>
    <d v="2022-01-18T00:00:00"/>
    <x v="1"/>
    <s v="GE0300"/>
    <s v="FR-500-GE-0111-2022"/>
    <s v="N/A"/>
    <s v="Calibración de: una (1) balanza analítica, marca PRECISA, modelo 180A, No 69652, Dos (2) Termómetros digitales con dos decimales, Una (1) probeta de 100 y Una (1) Probeta de 125ml, Un (1) dosificador cilíndrico de Titulador, Una (1) bureta de 10 ml, Un (1) matraz de 1000 ml, Dos (2) Termo Higrómetros, Un (1) Picnómetro con termómetro, Un (1) juego de pesas de 16 Elementos."/>
    <n v="5584670"/>
    <s v="15 de diciembre 2022"/>
    <s v="900-IP-0116-2022"/>
    <m/>
    <n v="202201403"/>
    <n v="5584000"/>
    <s v="N/A"/>
    <s v="N/A"/>
    <m/>
    <x v="2"/>
    <s v="JHON LARRY "/>
    <d v="2022-01-20T00:00:00"/>
    <m/>
    <m/>
    <m/>
    <s v="Entregado al area"/>
    <x v="1"/>
    <s v="21 de enero en solicitud de conceptos_x000a_24 DE ENERO EN REVISION DE FPA E INVITACION_x000a_26 DE ENERO EN REVISION DE LA EVALUACION_x000a_28 de enero en solicitud de polizas y rp"/>
    <m/>
    <d v="2022-02-09T00:00:00"/>
    <x v="2"/>
    <m/>
    <n v="22"/>
    <n v="20"/>
    <x v="2"/>
    <s v="FUNCIONAMIENTO"/>
    <x v="43"/>
    <d v="2022-01-27T00:00:00"/>
    <n v="5584670"/>
    <s v="MESURA Y METROLOGIA LTDA"/>
    <m/>
    <n v="0"/>
    <m/>
    <m/>
    <s v="N/A"/>
    <s v="N/A"/>
    <m/>
    <s v="CALI"/>
    <s v="LOCAL"/>
    <m/>
    <n v="0"/>
    <x v="0"/>
    <n v="1"/>
    <n v="16"/>
  </r>
  <r>
    <n v="50"/>
    <s v="0050"/>
    <x v="1"/>
    <d v="2022-01-18T00:00:00"/>
    <x v="1"/>
    <s v="GE0302"/>
    <s v="FR-500-GE-0114-2022"/>
    <s v="N/A"/>
    <s v="Mnatenimiento a equipos de Calibración"/>
    <n v="13119750"/>
    <s v="60 dias"/>
    <s v="900-IP-0117-2022"/>
    <m/>
    <n v="202201682"/>
    <n v="13119750"/>
    <s v="N/A"/>
    <s v="N/A"/>
    <m/>
    <x v="2"/>
    <s v="JHON LARRY "/>
    <d v="2022-01-20T00:00:00"/>
    <m/>
    <m/>
    <m/>
    <s v="Entregado al area"/>
    <x v="1"/>
    <s v="21 de enero en solicitud de conceptos_x000a_24 DE ENERO YA SE ELABORARON LA INVITACION Y LA FPA, SE ESTA A LA ESPERA DEL REGISTRO DE PROVEEDORES_x000a_26 DE ENERO EN REVISION DE LA EVALUACION_x000a_28 de enero en solicitud de la numeracion de la aceptacion y solicitud de rp_x000a_"/>
    <m/>
    <d v="2022-02-08T00:00:00"/>
    <x v="2"/>
    <m/>
    <n v="21"/>
    <n v="19"/>
    <x v="2"/>
    <s v="FUNCIONAMIENTO"/>
    <x v="44"/>
    <d v="2022-01-27T00:00:00"/>
    <n v="13119750"/>
    <s v="MESSEN SAS"/>
    <m/>
    <n v="0"/>
    <m/>
    <m/>
    <s v="N/A"/>
    <s v="N/A"/>
    <m/>
    <s v="BOGOTA"/>
    <s v="NACIONAL"/>
    <m/>
    <n v="0"/>
    <x v="0"/>
    <n v="1"/>
    <n v="15"/>
  </r>
  <r>
    <n v="51"/>
    <s v="0051"/>
    <x v="1"/>
    <d v="2022-01-18T00:00:00"/>
    <x v="1"/>
    <s v="GE0303"/>
    <s v="FR-500-GE-0115-2022"/>
    <s v="N/A"/>
    <s v="Calibración de Instrumentos y Equipos de Laboratorio"/>
    <n v="40712800"/>
    <s v="15 de diciembre 2022"/>
    <s v="900-IP-0107-2022"/>
    <s v="IP-"/>
    <n v="202201683"/>
    <n v="40721800"/>
    <s v="N/A"/>
    <s v="N/A"/>
    <s v="N/A"/>
    <x v="2"/>
    <s v="SILVIA GALINDO"/>
    <d v="2022-01-20T00:00:00"/>
    <e v="#VALUE!"/>
    <e v="#VALUE!"/>
    <s v="NO"/>
    <s v="Devuelto"/>
    <x v="2"/>
    <m/>
    <s v="24 DE ENERO EN COTIZACIONES_x000a_Problema con la cotizacion porque el laboratorio encargado no ha enviado la cotizacion y estan ajustando las especificaciones_x000a_28 DE ENERO EN COTIZACIONES NO SE HA RECIBIDO RESPUES DEL PROVEEDOR"/>
    <d v="2022-01-28T00:00:00"/>
    <x v="5"/>
    <s v="ene"/>
    <n v="10"/>
    <n v="8"/>
    <x v="2"/>
    <s v="FUNCIONAMIENTO"/>
    <x v="0"/>
    <m/>
    <m/>
    <m/>
    <m/>
    <n v="40712800"/>
    <m/>
    <m/>
    <m/>
    <m/>
    <m/>
    <m/>
    <m/>
    <m/>
    <m/>
    <x v="0"/>
    <m/>
    <m/>
  </r>
  <r>
    <n v="52"/>
    <s v="0052"/>
    <x v="1"/>
    <d v="2022-01-18T00:00:00"/>
    <x v="1"/>
    <s v="GE0304"/>
    <s v="FR-500-GE-0116-2022"/>
    <s v="N/A"/>
    <s v="Calibración de equipos de prueba de medidores - EPM y un Patrón Trifásico Multifunción, en la magnitud de nergía eléctrica."/>
    <n v="62492850"/>
    <s v="90 dias"/>
    <s v="900-IP-0108-2022"/>
    <s v="IP-"/>
    <n v="202201684"/>
    <n v="62492850"/>
    <s v="N/A"/>
    <s v="N/A"/>
    <s v="N/A"/>
    <x v="2"/>
    <s v="SILVIA GALINDO"/>
    <d v="2022-01-20T00:00:00"/>
    <e v="#VALUE!"/>
    <e v="#VALUE!"/>
    <s v="NO"/>
    <s v="Devuelto"/>
    <x v="2"/>
    <m/>
    <s v="24 DE ENERO EN COTIZACIONES_x000a_26 de enero el proveedor no ha enviado la cotizacion_x000a_28 DE ENERO EN COTIZACIONES NO SE HA RECIBIDO RESPUES DEL PROVEEDOR"/>
    <d v="2022-01-28T00:00:00"/>
    <x v="5"/>
    <s v="ene"/>
    <n v="10"/>
    <n v="8"/>
    <x v="2"/>
    <s v="FUNCIONAMIENTO"/>
    <x v="0"/>
    <m/>
    <m/>
    <m/>
    <m/>
    <n v="62492850"/>
    <m/>
    <m/>
    <m/>
    <m/>
    <m/>
    <m/>
    <m/>
    <m/>
    <m/>
    <x v="0"/>
    <m/>
    <m/>
  </r>
  <r>
    <n v="53"/>
    <s v="0053"/>
    <x v="1"/>
    <d v="2022-01-18T00:00:00"/>
    <x v="1"/>
    <s v="GE0309"/>
    <s v="FR-500-GE-0126-2022"/>
    <s v="N/A"/>
    <s v="Suministro de cajas metalicas para medidores"/>
    <n v="31318283"/>
    <s v="90 dias"/>
    <s v="900-IP-0119-2022"/>
    <m/>
    <n v="202200904"/>
    <n v="31318283"/>
    <s v="N/A"/>
    <s v="N/A"/>
    <m/>
    <x v="2"/>
    <s v="JHON LARRY "/>
    <d v="2022-01-20T00:00:00"/>
    <m/>
    <m/>
    <m/>
    <s v="Entregado al area"/>
    <x v="1"/>
    <s v="21 de enero en solicitud de conceptos_x000a_24 DE ENERO EN COTIZACIONES_x000a_26 DE ENERO EN RECEPCION DE OFERTAS PENDIENTE REGISTRO DE PROVEEDORES_x000a_27 de enero en recepcion de ofertas_x000a_28 DE ENERO EN ELABORACION DE LA EVALUCION"/>
    <m/>
    <d v="2022-02-11T00:00:00"/>
    <x v="2"/>
    <m/>
    <n v="24"/>
    <n v="22"/>
    <x v="2"/>
    <s v="FUNCIONAMIENTO"/>
    <x v="45"/>
    <d v="2022-01-28T00:00:00"/>
    <n v="31318283"/>
    <s v="INDUSTRIAS REBRA SAS"/>
    <m/>
    <n v="0"/>
    <m/>
    <m/>
    <s v="N/A"/>
    <s v="N/A"/>
    <m/>
    <s v="YUMBO"/>
    <s v="REGIONAL"/>
    <m/>
    <n v="0"/>
    <x v="0"/>
    <n v="1"/>
    <n v="18"/>
  </r>
  <r>
    <n v="54"/>
    <s v="0054"/>
    <x v="1"/>
    <d v="2022-01-18T00:00:00"/>
    <x v="1"/>
    <s v="GE0236"/>
    <s v="FR-500-GE-0125-2022"/>
    <s v="N/A"/>
    <s v="Suministro de cajas Policarbonato"/>
    <n v="48788215"/>
    <s v="90 dias"/>
    <s v="900-IP-0110-2022"/>
    <m/>
    <n v="202201938"/>
    <n v="48788215"/>
    <s v="N/A"/>
    <s v="N/A"/>
    <m/>
    <x v="2"/>
    <s v="SILVIA GALINDO"/>
    <d v="2022-01-20T00:00:00"/>
    <m/>
    <m/>
    <m/>
    <s v="Entregado al area"/>
    <x v="1"/>
    <s v="24 DE ENERO EN COTIZACIONES_x000a_26 de enero en elaboracion de fpa e invitacion_x000a_28 DE ENERO EN RECEPCION DE OFERTAS"/>
    <m/>
    <d v="2022-02-10T00:00:00"/>
    <x v="2"/>
    <m/>
    <n v="23"/>
    <n v="21"/>
    <x v="2"/>
    <s v="FUNCIONAMIENTO"/>
    <x v="46"/>
    <d v="2022-01-28T00:00:00"/>
    <n v="48788215"/>
    <s v="COMPAC SAS"/>
    <m/>
    <n v="0"/>
    <m/>
    <m/>
    <s v="2022-025"/>
    <d v="2022-01-13T00:00:00"/>
    <m/>
    <s v="BOGOTA"/>
    <s v="NACIONAL"/>
    <m/>
    <n v="0"/>
    <x v="0"/>
    <n v="1"/>
    <n v="17"/>
  </r>
  <r>
    <n v="55"/>
    <s v="0055"/>
    <x v="1"/>
    <d v="2022-01-18T00:00:00"/>
    <x v="1"/>
    <s v="GE0201"/>
    <s v="FR-500-GE-0119-2022"/>
    <s v="N/A"/>
    <s v="Suministro sellos de bornera para medidor de energía"/>
    <n v="8407493"/>
    <s v="1 mes"/>
    <s v="900-IP-0118-2022"/>
    <m/>
    <n v="202201115"/>
    <n v="8407493"/>
    <s v="N/A"/>
    <s v="N/A"/>
    <m/>
    <x v="2"/>
    <s v="JHON LARRY "/>
    <d v="2022-01-20T00:00:00"/>
    <m/>
    <m/>
    <m/>
    <s v="Entregado al area"/>
    <x v="1"/>
    <s v="21 de enero en solicitud de conceptos_x000a_24 DE ENERO EN COTIZACIONES_x000a_26 DE ENERO EN RECECION DE OFERTAS_x000a_EN SOLICITUD DE REGISTRO Y POLIZAS"/>
    <m/>
    <d v="2022-02-11T00:00:00"/>
    <x v="2"/>
    <m/>
    <n v="24"/>
    <n v="22"/>
    <x v="2"/>
    <s v="FUNCIONAMIENTO"/>
    <x v="47"/>
    <d v="2022-01-27T00:00:00"/>
    <n v="8407493"/>
    <s v="NORMARH SAS"/>
    <m/>
    <n v="0"/>
    <m/>
    <m/>
    <s v="2021-388"/>
    <d v="2022-01-06T00:00:00"/>
    <m/>
    <s v="PEREIRA"/>
    <s v="NACIONAL"/>
    <m/>
    <n v="0"/>
    <x v="0"/>
    <n v="1"/>
    <n v="18"/>
  </r>
  <r>
    <n v="56"/>
    <s v="0056"/>
    <x v="2"/>
    <d v="2022-01-18T00:00:00"/>
    <x v="1"/>
    <s v="GAA0350"/>
    <s v="FR-300-GAA-0007-2022"/>
    <s v="N/A"/>
    <s v="Mantenimiento de Plotter, consecución de repuestos originales e insumos para el correcto funcionamiento del mismo."/>
    <n v="8000000"/>
    <s v="6 meses"/>
    <s v="900-IP-0123-2022"/>
    <m/>
    <n v="202200909"/>
    <n v="8000000"/>
    <s v="N/A"/>
    <s v="N/A"/>
    <m/>
    <x v="2"/>
    <s v="IVAN ALDANA"/>
    <d v="2022-01-21T00:00:00"/>
    <m/>
    <m/>
    <m/>
    <s v="Entregado al area"/>
    <x v="1"/>
    <s v="24 DE ENERO EN COTIZACIONES_x000a_26 DE ENERO EN ELABORACION DE LA EVALUACION_x000a_28 de enero en espera de numeracion de la aceptacion"/>
    <m/>
    <d v="2022-02-13T00:00:00"/>
    <x v="2"/>
    <m/>
    <n v="26"/>
    <n v="23"/>
    <x v="2"/>
    <s v="FUNCIONAMIENTO"/>
    <x v="48"/>
    <d v="2022-01-27T00:00:00"/>
    <n v="8000000"/>
    <s v="JARVITH ALONSO QUINTERO"/>
    <m/>
    <n v="0"/>
    <m/>
    <m/>
    <s v="N/A"/>
    <s v="N/A"/>
    <m/>
    <s v="CALI"/>
    <s v="LOCAL"/>
    <m/>
    <n v="0"/>
    <x v="0"/>
    <n v="1"/>
    <n v="18"/>
  </r>
  <r>
    <n v="57"/>
    <s v="0057"/>
    <x v="2"/>
    <d v="2022-01-18T00:00:00"/>
    <x v="1"/>
    <s v="GAA0220"/>
    <s v="FR-300-GAA-0025-2022"/>
    <s v="300-CMA-1241-2020"/>
    <s v="Suministro de adsorbente para las Planta de Tratamiento de Agua Potable Puerto Mallarino, Rio Cauca y Rio Cali: Carbón Activado."/>
    <n v="298465748"/>
    <s v="90 dias"/>
    <s v="N/A"/>
    <m/>
    <n v="202200897"/>
    <n v="355207860"/>
    <s v="N/A"/>
    <s v="N/A"/>
    <m/>
    <x v="1"/>
    <s v="CENELIA CRUZ"/>
    <d v="2022-01-20T00:00:00"/>
    <m/>
    <m/>
    <m/>
    <s v="Entregado al area"/>
    <x v="1"/>
    <s v="21 de enero en revisionde la invitacion por parte de la jefe"/>
    <m/>
    <d v="2022-02-08T00:00:00"/>
    <x v="6"/>
    <m/>
    <n v="21"/>
    <n v="19"/>
    <x v="0"/>
    <s v="OPERACIÓN"/>
    <x v="49"/>
    <d v="2022-01-26T00:00:00"/>
    <n v="298130016"/>
    <s v="SULFOQUIMICA SA"/>
    <m/>
    <n v="335732"/>
    <m/>
    <m/>
    <s v="2022-031"/>
    <d v="2022-01-17T00:00:00"/>
    <m/>
    <s v="ITAGUI"/>
    <s v="NACIONAL"/>
    <m/>
    <n v="1.1248593925759281E-3"/>
    <x v="0"/>
    <n v="0"/>
    <n v="21"/>
  </r>
  <r>
    <n v="58"/>
    <s v="0058"/>
    <x v="2"/>
    <d v="2022-01-18T00:00:00"/>
    <x v="1"/>
    <s v="GAA0218"/>
    <s v="FR-300-GAA-0026-2022"/>
    <s v="300-CMA-1243-2020"/>
    <s v="Suministro de Cloro, para ser utilizado en el Tratamiento de Agua Potable para consumo humano."/>
    <n v="1181777325"/>
    <s v="75 dias"/>
    <s v="N/A"/>
    <m/>
    <n v="202200895"/>
    <n v="1406325281"/>
    <s v="N/A"/>
    <s v="N/A"/>
    <m/>
    <x v="1"/>
    <s v="LUCY ARBELAEZ"/>
    <d v="2022-01-20T00:00:00"/>
    <m/>
    <m/>
    <m/>
    <s v="Entregado al area"/>
    <x v="1"/>
    <m/>
    <m/>
    <d v="2022-02-08T00:00:00"/>
    <x v="6"/>
    <m/>
    <n v="21"/>
    <n v="19"/>
    <x v="0"/>
    <s v="OPERACIÓN"/>
    <x v="50"/>
    <d v="2022-01-27T00:00:00"/>
    <n v="1181118035"/>
    <s v="QUIMPAC DE COLOMBIA SA"/>
    <m/>
    <n v="659290"/>
    <m/>
    <m/>
    <s v="2022-034"/>
    <d v="2022-01-17T00:00:00"/>
    <m/>
    <s v="YUMBO"/>
    <s v="MUNICIPAL"/>
    <m/>
    <n v="5.5788005578800558E-4"/>
    <x v="0"/>
    <n v="0"/>
    <n v="21"/>
  </r>
  <r>
    <n v="59"/>
    <s v="0059"/>
    <x v="2"/>
    <d v="2022-01-18T00:00:00"/>
    <x v="1"/>
    <s v="GAA0217"/>
    <s v="FR-300-GAA-0027-2022"/>
    <s v="300-CMA-1243-2020"/>
    <s v="Suministro de Hidróxido de Sodio para ser utilizado en el Tratamiento de Agua Potable para consumo humano."/>
    <n v="46963851"/>
    <s v="10 dias"/>
    <s v="N/A"/>
    <m/>
    <n v="202200901"/>
    <n v="55891920"/>
    <s v="N/A"/>
    <s v="N/A"/>
    <m/>
    <x v="1"/>
    <s v="LUCY ARBELAEZ"/>
    <d v="2022-01-20T00:00:00"/>
    <m/>
    <m/>
    <m/>
    <s v="Entregado al area"/>
    <x v="1"/>
    <m/>
    <m/>
    <d v="2022-02-09T00:00:00"/>
    <x v="6"/>
    <m/>
    <n v="22"/>
    <n v="20"/>
    <x v="0"/>
    <s v="OPERACIÓN"/>
    <x v="51"/>
    <d v="2022-01-27T00:00:00"/>
    <n v="46939530"/>
    <s v="QUIMPAC DE COLOMBIA SA"/>
    <m/>
    <n v="24321"/>
    <m/>
    <m/>
    <s v="2022-030"/>
    <d v="2022-01-17T00:00:00"/>
    <m/>
    <s v="CALI"/>
    <s v="LOCAL"/>
    <m/>
    <n v="5.1786639047125837E-4"/>
    <x v="0"/>
    <n v="0"/>
    <n v="22"/>
  </r>
  <r>
    <n v="60"/>
    <s v="0060"/>
    <x v="2"/>
    <d v="2022-01-18T00:00:00"/>
    <x v="1"/>
    <s v="GAA0223"/>
    <s v="FR-300-GAA-0028-2022"/>
    <s v="300-CMA-1245-2020"/>
    <s v="Suministro de Coagulante para ser utilizado en el Tratamiento de Agua Potable para consumo humano"/>
    <n v="1504140966"/>
    <s v="74 dias"/>
    <s v="N/A"/>
    <m/>
    <n v="202200900"/>
    <n v="1526456138"/>
    <s v="N/A"/>
    <s v="N/A"/>
    <m/>
    <x v="1"/>
    <s v="LUCY ARBELAEZ"/>
    <d v="2022-01-20T00:00:00"/>
    <e v="#REF!"/>
    <e v="#REF!"/>
    <s v="SI"/>
    <s v="Entregado al area"/>
    <x v="1"/>
    <m/>
    <m/>
    <d v="2022-02-14T00:00:00"/>
    <x v="7"/>
    <m/>
    <n v="27"/>
    <n v="25"/>
    <x v="0"/>
    <s v="FUNCIONAMIENTO"/>
    <x v="52"/>
    <d v="2022-01-28T00:00:00"/>
    <n v="1282734965.3999999"/>
    <s v="SULFOQUIMICA SA"/>
    <m/>
    <n v="221406000.60000014"/>
    <m/>
    <m/>
    <s v="2022-032"/>
    <d v="2022-01-17T00:00:00"/>
    <m/>
    <s v="YUMBO"/>
    <s v="MUNICIPAL"/>
    <m/>
    <n v="0.14719764011799419"/>
    <x v="0"/>
    <n v="0"/>
    <n v="27"/>
  </r>
  <r>
    <n v="61"/>
    <s v="0061"/>
    <x v="2"/>
    <d v="2022-01-18T00:00:00"/>
    <x v="1"/>
    <s v="GAA0221"/>
    <s v="FR-300-GAA-0029-2022"/>
    <s v="300-CMA-1246-2020"/>
    <s v="Suministro de Coagulante para las Plantas Rio Cauca, Rio Cali, La Reforma y La Rivera: Hidroxicloruro de Aluminio."/>
    <n v="766147800"/>
    <s v="70 dias"/>
    <s v="N/A"/>
    <m/>
    <n v="202200898"/>
    <n v="796239234"/>
    <s v="N/A"/>
    <s v="N/A"/>
    <m/>
    <x v="1"/>
    <s v="LUCY ARBELAEZ"/>
    <d v="2022-01-20T00:00:00"/>
    <e v="#REF!"/>
    <e v="#REF!"/>
    <s v="SI"/>
    <s v="Entregado al area"/>
    <x v="1"/>
    <s v="8 DE MARZO ENTREGADO AL AREA"/>
    <m/>
    <d v="2022-03-08T00:00:00"/>
    <x v="7"/>
    <m/>
    <n v="49"/>
    <n v="47"/>
    <x v="0"/>
    <s v="FUNCIONAMIENTO"/>
    <x v="53"/>
    <d v="2022-02-08T00:00:00"/>
    <n v="669060200"/>
    <s v="QUIMPAC DE COLOMBIA SA"/>
    <m/>
    <n v="97087600"/>
    <m/>
    <m/>
    <s v="2022-029"/>
    <d v="2022-01-17T00:00:00"/>
    <m/>
    <s v="YUMBO "/>
    <s v="MUNICIPAL"/>
    <m/>
    <n v="0.12672176308539945"/>
    <x v="0"/>
    <n v="0"/>
    <n v="49"/>
  </r>
  <r>
    <n v="62"/>
    <s v="0062"/>
    <x v="7"/>
    <d v="2022-01-18T00:00:00"/>
    <x v="1"/>
    <s v="GG0094"/>
    <s v="FR-100-GG-0059-2022"/>
    <s v="N/A"/>
    <s v="Prestar los servicios para la Gestion Integral de Residuos, la cual incluye la recolección, cargue, transporte, manipulación, almacenamiento temporal, tratamiento y/o disposición final, de manera segura y ambientalmente adecuada de residuos peligrosos, residuos de aparatos eléctricos y electrónicos - RAEE y excedentes industriales propios de las actividades de construcción, operación y mantenimiento de4 EMCALI, además la compraventa entre las partes, de aquellos excedentes susceptibles de aprovechamiento, que hayan sido previamente declarados obsoletos e inservibles para la empresa."/>
    <n v="84605611"/>
    <s v="31 de diciembre 2022"/>
    <s v="900-IP-0083-2022"/>
    <m/>
    <n v="202201674"/>
    <n v="84605611"/>
    <s v="N/A"/>
    <s v="N/A"/>
    <m/>
    <x v="2"/>
    <s v="JUAN PABLO QUIMBAYO"/>
    <d v="2022-01-20T00:00:00"/>
    <m/>
    <m/>
    <m/>
    <s v="Entregado al area"/>
    <x v="1"/>
    <s v="21 de enero en cotizaciones_x000a_24 DE ENERO EN INVITACION A OFERTAR_x000a_26 de enero en revision de la evaluacion _x000a_27 de enero en rp y polizas"/>
    <m/>
    <d v="2022-02-03T00:00:00"/>
    <x v="2"/>
    <m/>
    <n v="16"/>
    <n v="14"/>
    <x v="2"/>
    <s v="FUNCIONAMIENTO"/>
    <x v="54"/>
    <d v="2022-01-27T00:00:00"/>
    <n v="84605611"/>
    <s v="UNION TEMPORAL SERVIECOLOGICO"/>
    <m/>
    <n v="0"/>
    <m/>
    <m/>
    <s v="N/A"/>
    <s v="N/A"/>
    <m/>
    <s v="CALI"/>
    <s v="LOCAL"/>
    <m/>
    <n v="0"/>
    <x v="1"/>
    <n v="1"/>
    <n v="12"/>
  </r>
  <r>
    <n v="63"/>
    <s v="0063"/>
    <x v="2"/>
    <d v="2022-01-18T00:00:00"/>
    <x v="1"/>
    <s v="GAA0176"/>
    <s v="FR-300-GAA-0013-2022"/>
    <s v="N/A"/>
    <s v="Restauración losas canal interceptor Sur."/>
    <n v="197295959"/>
    <s v="6 meses"/>
    <s v="900-IP-0095-2022"/>
    <m/>
    <n v="202201926"/>
    <n v="200000000"/>
    <s v="N/A"/>
    <s v="N/A"/>
    <m/>
    <x v="2"/>
    <s v="JUAN PABLO QUIMBAYO"/>
    <d v="2022-01-20T00:00:00"/>
    <m/>
    <m/>
    <m/>
    <s v="Entregado al area"/>
    <x v="1"/>
    <s v="21 de enero en cotizaciones_x000a_24 DE ENERO EN INVITACION A OFERTAR_x000a_26 de enero en revision de la evaluacion _x000a_27 de enero en rp y polizas"/>
    <m/>
    <d v="2022-02-07T00:00:00"/>
    <x v="2"/>
    <m/>
    <n v="20"/>
    <n v="18"/>
    <x v="2"/>
    <s v="INVERSION"/>
    <x v="55"/>
    <d v="2022-01-27T00:00:00"/>
    <n v="194860197"/>
    <s v="PROYECTOS Y CONSTRUCCIONES DEL PACIFICO SAS"/>
    <m/>
    <n v="2435762"/>
    <m/>
    <m/>
    <s v="N/A"/>
    <s v="N/A"/>
    <m/>
    <s v="BUENAVENTURA"/>
    <s v="REGIONAL"/>
    <m/>
    <n v="1.2345726756623536E-2"/>
    <x v="0"/>
    <n v="1"/>
    <n v="14"/>
  </r>
  <r>
    <n v="64"/>
    <s v="0064"/>
    <x v="2"/>
    <d v="2022-01-18T00:00:00"/>
    <x v="1"/>
    <s v="GAA0628"/>
    <s v="FR-300-GAA-0014-2022"/>
    <s v="N/A"/>
    <s v="Reposición redes alcantarillado barrio Comuneros I"/>
    <n v="363128044"/>
    <s v="6 meses"/>
    <s v="900-IP-0086-2022"/>
    <m/>
    <n v="202201918"/>
    <n v="365000000"/>
    <s v="N/A"/>
    <s v="N/A"/>
    <m/>
    <x v="2"/>
    <s v="VIAGNERY LOPEZ"/>
    <d v="2022-01-20T00:00:00"/>
    <m/>
    <m/>
    <m/>
    <s v="Entregado al area"/>
    <x v="1"/>
    <s v="21 DE ENERO EN REVISION DE LA FPA E INVITACION_x000a_24 de enero en invitacion a ofertar_x000a_26 de enero en aceptacion_x000a_27 de enero en solicitud de polizas y rp"/>
    <m/>
    <d v="2022-02-08T00:00:00"/>
    <x v="2"/>
    <m/>
    <n v="21"/>
    <n v="19"/>
    <x v="2"/>
    <s v="INVERSION"/>
    <x v="56"/>
    <d v="2022-01-27T00:00:00"/>
    <n v="362715477"/>
    <s v="JAIRO MARTIN VARGAS DIAZ"/>
    <m/>
    <n v="412567"/>
    <m/>
    <m/>
    <s v="N/A"/>
    <s v="N/A"/>
    <m/>
    <s v="CALI"/>
    <s v="CALI"/>
    <m/>
    <n v="1.1361474466565849E-3"/>
    <x v="0"/>
    <n v="1"/>
    <n v="15"/>
  </r>
  <r>
    <n v="65"/>
    <s v="0065"/>
    <x v="2"/>
    <d v="2022-01-18T00:00:00"/>
    <x v="1"/>
    <s v="GAA0162"/>
    <s v="FR-300-GAA-0015-2022"/>
    <s v="N/A"/>
    <s v="Reposición redes alcantarillado barrio Andres Sanin"/>
    <n v="490449035"/>
    <s v="6 meses"/>
    <s v="900-IP-0102-2022"/>
    <m/>
    <n v="202201917"/>
    <n v="495000000"/>
    <s v="N/A"/>
    <s v="N/A"/>
    <m/>
    <x v="2"/>
    <s v="HAROLD MONDRAGON"/>
    <d v="2022-01-20T00:00:00"/>
    <m/>
    <m/>
    <m/>
    <s v="Entregado al area"/>
    <x v="1"/>
    <s v="21 de enero en cotizaciones _x000a_24 DE ENERO EN REVISION DE LA FPA_x000a_26 DE ENERO EN REVISION DE LA EVALUACION_x000a_27 de enero en solicitud de polizas y registro presupuestal"/>
    <m/>
    <d v="2022-02-03T00:00:00"/>
    <x v="2"/>
    <m/>
    <n v="16"/>
    <n v="14"/>
    <x v="2"/>
    <s v="INVERSION"/>
    <x v="57"/>
    <d v="2022-01-27T00:00:00"/>
    <n v="490449033"/>
    <s v="AYAPAC CONSTRUCCIONES SAS"/>
    <m/>
    <n v="2"/>
    <m/>
    <m/>
    <s v="N/A"/>
    <s v="N/A"/>
    <m/>
    <s v="CALI"/>
    <s v="LOCAL"/>
    <m/>
    <n v="4.0778956777843392E-9"/>
    <x v="0"/>
    <n v="1"/>
    <n v="12"/>
  </r>
  <r>
    <n v="66"/>
    <s v="0066"/>
    <x v="2"/>
    <d v="2022-01-18T00:00:00"/>
    <x v="1"/>
    <s v="GAA0633"/>
    <s v="FR-300-GAA-0016-2022"/>
    <s v="N/A"/>
    <s v="Reposición redes alcantarillado barrio Napoles"/>
    <n v="304533212"/>
    <s v="6 meses"/>
    <s v="900-IP-0089-2022"/>
    <m/>
    <n v="202201927"/>
    <n v="310000000"/>
    <s v="N/A"/>
    <s v="N/A"/>
    <m/>
    <x v="2"/>
    <s v="VIAGNERY LOPEZ"/>
    <d v="2022-01-20T00:00:00"/>
    <m/>
    <m/>
    <m/>
    <s v="Entregado al area"/>
    <x v="1"/>
    <s v="24 de enero en invitacion a ofertar_x000a_26 de enero en aceptacion_x000a_27 de enero en solicitud de polizas y rp"/>
    <m/>
    <d v="2022-02-01T00:00:00"/>
    <x v="2"/>
    <m/>
    <n v="14"/>
    <n v="12"/>
    <x v="2"/>
    <s v="INVERSION"/>
    <x v="58"/>
    <d v="2022-01-27T00:00:00"/>
    <n v="304164327"/>
    <s v="ODBI SAS"/>
    <m/>
    <n v="368885"/>
    <m/>
    <m/>
    <s v="N/A"/>
    <s v="N/A"/>
    <m/>
    <s v="PEREIRA"/>
    <s v="NACIONAL"/>
    <m/>
    <n v="1.2113128731588067E-3"/>
    <x v="0"/>
    <n v="1"/>
    <n v="10"/>
  </r>
  <r>
    <n v="67"/>
    <s v="0067"/>
    <x v="2"/>
    <d v="2022-01-18T00:00:00"/>
    <x v="1"/>
    <s v="GAA0630"/>
    <s v="FR-300-GAA-0017-2022"/>
    <s v="N/A"/>
    <s v="Reposición redes alcantarillado barrios La Fortaleza y Eucaristico"/>
    <n v="496893604"/>
    <s v="6 meses"/>
    <s v="900-IP-0100-2022"/>
    <m/>
    <n v="202201921"/>
    <n v="500000000"/>
    <s v="N/A"/>
    <s v="N/A"/>
    <m/>
    <x v="2"/>
    <s v="HAROLD MONDRAGON"/>
    <d v="2022-01-20T00:00:00"/>
    <m/>
    <m/>
    <m/>
    <s v="Entregado al area"/>
    <x v="1"/>
    <s v="21 de  enero en revision de la fpa e invitacion_x000a_24 DE ENERO EN INVITACION A OFERTAR SE RECIBE MAÑANA_x000a_26 DE ENERO EN REVISION DE LA EVALUACION_x000a_27 de enero en solicitud de polizas y registro presupuestal"/>
    <m/>
    <d v="2022-02-03T00:00:00"/>
    <x v="2"/>
    <m/>
    <n v="16"/>
    <n v="14"/>
    <x v="2"/>
    <s v="INVERSION"/>
    <x v="59"/>
    <d v="2022-01-27T00:00:00"/>
    <n v="496741956"/>
    <s v="PONTIFEX SAS"/>
    <m/>
    <n v="151648"/>
    <m/>
    <m/>
    <s v="N/A"/>
    <s v="N/A"/>
    <m/>
    <s v="CALI"/>
    <s v="LOCAL"/>
    <m/>
    <n v="3.0519209500631849E-4"/>
    <x v="0"/>
    <n v="1"/>
    <n v="12"/>
  </r>
  <r>
    <n v="68"/>
    <s v="0068"/>
    <x v="2"/>
    <d v="2022-01-18T00:00:00"/>
    <x v="1"/>
    <s v="GAA0160"/>
    <s v="FR-300-GAA-0018-2022"/>
    <s v="N/A"/>
    <s v="Reposición redes alcantarillado barrio El Bosque."/>
    <n v="453531324"/>
    <s v="6 meses"/>
    <s v="900-IP-0096-2022"/>
    <m/>
    <n v="202201919"/>
    <n v="455000000"/>
    <s v="N/A"/>
    <s v="N/A"/>
    <m/>
    <x v="2"/>
    <s v="HAROLD MONDRAGON"/>
    <d v="2022-01-20T00:00:00"/>
    <m/>
    <m/>
    <m/>
    <s v="Entregado al area"/>
    <x v="1"/>
    <s v="21 de enero en cotizaciones _x000a_24 DE ENERO EN ELABORACION DE LA FPA E INVITACION_x000a_26 DE ENERO EN RECEPCION DE OFERTAS_x000a_27 de enero en revision de la evaluacion"/>
    <m/>
    <d v="2022-02-16T00:00:00"/>
    <x v="2"/>
    <m/>
    <n v="29"/>
    <n v="27"/>
    <x v="2"/>
    <s v="INVERSION"/>
    <x v="60"/>
    <d v="2022-01-27T00:00:00"/>
    <n v="453531324"/>
    <s v="4L INGENIERIA SAS"/>
    <m/>
    <n v="0"/>
    <m/>
    <m/>
    <s v="N/A"/>
    <s v="N/A"/>
    <m/>
    <s v="MONTERIA"/>
    <s v="NACIONAL"/>
    <m/>
    <n v="0"/>
    <x v="0"/>
    <n v="1"/>
    <n v="21"/>
  </r>
  <r>
    <n v="69"/>
    <s v="0069"/>
    <x v="2"/>
    <d v="2022-01-18T00:00:00"/>
    <x v="1"/>
    <s v="GAA0167"/>
    <s v="FR-300-GAA-0019-2022"/>
    <s v="N/A"/>
    <s v="Reposición redes tramos criticos sector La Campiña"/>
    <n v="285432098"/>
    <s v="6 meses"/>
    <s v="900-IP-0097-2022"/>
    <m/>
    <n v="202201923"/>
    <n v="290000000"/>
    <s v="N/A"/>
    <s v="N/A"/>
    <m/>
    <x v="2"/>
    <s v="JUAN PABLO QUIMBAYO"/>
    <d v="2022-01-20T00:00:00"/>
    <m/>
    <m/>
    <m/>
    <s v="Entregado al area"/>
    <x v="1"/>
    <s v="21 de enero en cotizaciones_x000a_24 DE ENERO EN INVITACION A OFERTAR_x000a_26 de enero en revision de la evaluacion _x000a_27 de enero en rp y polizas_x000a_"/>
    <m/>
    <d v="2022-02-04T00:00:00"/>
    <x v="2"/>
    <m/>
    <n v="17"/>
    <n v="15"/>
    <x v="2"/>
    <s v="INVERSION"/>
    <x v="61"/>
    <d v="2022-01-27T00:00:00"/>
    <n v="279679505"/>
    <s v="HABILIDADES ESATRUCTURALES EN INGENIERIA  LTDA"/>
    <m/>
    <n v="5752593"/>
    <m/>
    <m/>
    <s v="N/A"/>
    <s v="N/A"/>
    <m/>
    <s v="BUENAVENTURA"/>
    <s v="REGIONAL"/>
    <m/>
    <n v="2.0153980720136109E-2"/>
    <x v="0"/>
    <n v="1"/>
    <n v="13"/>
  </r>
  <r>
    <n v="70"/>
    <s v="0070"/>
    <x v="2"/>
    <d v="2022-01-18T00:00:00"/>
    <x v="1"/>
    <s v="GAA0632"/>
    <s v="FR-300-GAA-0021-2022"/>
    <s v="N/A"/>
    <s v="Reposición redes tramos criticos alcantarillado barrio La Selva"/>
    <n v="488005726"/>
    <s v="6 meses"/>
    <s v="900-IP-0088-2022"/>
    <m/>
    <n v="202201925"/>
    <n v="495000000"/>
    <s v="N/A"/>
    <s v="N/A"/>
    <m/>
    <x v="2"/>
    <s v="VIAGNERY LOPEZ"/>
    <d v="2022-01-20T00:00:00"/>
    <m/>
    <m/>
    <m/>
    <s v="Entregado al area"/>
    <x v="1"/>
    <s v="24 de enero en invitacion a ofertar_x000a_26 de enero en aceptacion_x000a_27 de enero en solicitud de polizas y rp_x000a_2 DE FEBRERO ENTREGADO AL AREA"/>
    <m/>
    <d v="2022-02-02T00:00:00"/>
    <x v="2"/>
    <m/>
    <n v="15"/>
    <n v="13"/>
    <x v="2"/>
    <s v="INVERSION"/>
    <x v="62"/>
    <d v="2022-01-27T00:00:00"/>
    <n v="487965113"/>
    <s v="MARIA CAMILA GONZALEZ"/>
    <m/>
    <n v="40613"/>
    <m/>
    <m/>
    <s v="N/A"/>
    <s v="N/A"/>
    <m/>
    <s v="CALI"/>
    <s v="LOCAL"/>
    <m/>
    <n v="8.3222384157025239E-5"/>
    <x v="0"/>
    <n v="1"/>
    <n v="11"/>
  </r>
  <r>
    <n v="71"/>
    <s v="0071"/>
    <x v="2"/>
    <d v="2022-01-18T00:00:00"/>
    <x v="1"/>
    <s v="GAA0159"/>
    <s v="FR-300-GAA-0022-2022"/>
    <s v="N/A"/>
    <s v="Reposición redes de acueducto y alcantarillado barrio Fepicol"/>
    <n v="347380623"/>
    <s v="6 meses"/>
    <s v="900-IP-0087-2022"/>
    <m/>
    <n v="202201922"/>
    <m/>
    <s v="N/A"/>
    <s v="N/A"/>
    <m/>
    <x v="2"/>
    <s v="VIAGNERY LOPEZ"/>
    <d v="2022-01-20T00:00:00"/>
    <m/>
    <m/>
    <m/>
    <s v="Entregado al area"/>
    <x v="1"/>
    <s v="21 DE ENERO EN REVISION DE LA FPA E INVITACION_x000a_24 de enero en invitacion a ofertar_x000a_26 de enero en aceptacion_x000a_27 de enero en solicitud de polizas y rp"/>
    <m/>
    <d v="2022-02-07T00:00:00"/>
    <x v="2"/>
    <m/>
    <n v="20"/>
    <n v="18"/>
    <x v="2"/>
    <s v="INVERSION"/>
    <x v="63"/>
    <d v="2022-01-27T00:00:00"/>
    <n v="346499915"/>
    <s v="GIRONZA LOZANO EDUARDO"/>
    <m/>
    <n v="880708"/>
    <m/>
    <m/>
    <s v="N/A"/>
    <s v="N/A"/>
    <m/>
    <s v="CALI"/>
    <s v="LOCAL"/>
    <m/>
    <n v="2.5352824587455474E-3"/>
    <x v="0"/>
    <n v="1"/>
    <n v="14"/>
  </r>
  <r>
    <n v="72"/>
    <s v="0072"/>
    <x v="2"/>
    <d v="2022-01-20T00:00:00"/>
    <x v="1"/>
    <s v="GAA0166"/>
    <s v="FR-300-GAA-0030-2022"/>
    <s v="N/A"/>
    <s v="Consultoría de diseños de optimización de redes de acueducto 2022 metodologia convencional y No convencional - en sectores priorizados operativamente."/>
    <n v="244088221"/>
    <s v="6 meses"/>
    <s v="900-IP-0082-2022"/>
    <m/>
    <n v="202201933"/>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03T00:00:00"/>
    <x v="2"/>
    <m/>
    <n v="14"/>
    <n v="14"/>
    <x v="2"/>
    <s v="INVERSION"/>
    <x v="64"/>
    <d v="2022-01-27T00:00:00"/>
    <n v="243854800"/>
    <s v="ARMANDO LEON JIMENEZ"/>
    <m/>
    <n v="233421"/>
    <m/>
    <m/>
    <s v="N/A"/>
    <s v="N/A"/>
    <m/>
    <s v="CALI"/>
    <s v="LOCAL"/>
    <m/>
    <n v="9.5629768222203564E-4"/>
    <x v="0"/>
    <n v="1"/>
    <n v="10"/>
  </r>
  <r>
    <n v="73"/>
    <s v="0073"/>
    <x v="2"/>
    <d v="2022-01-20T00:00:00"/>
    <x v="1"/>
    <s v="GAA0357"/>
    <s v="FR-300-GAA-0011-2022"/>
    <s v="N/A"/>
    <s v="Mantenimiento correctivo y preventivo de todos los equipos con Circuito Cerrado de Television para inspeccion de redes de alcantarillado."/>
    <n v="55499999"/>
    <s v="6 meses"/>
    <s v="900-IP-0124-2022"/>
    <m/>
    <n v="202200916"/>
    <n v="55500000"/>
    <s v="N/A"/>
    <s v="N/A"/>
    <m/>
    <x v="2"/>
    <s v="IVAN ALDANA"/>
    <d v="2022-01-21T00:00:00"/>
    <m/>
    <m/>
    <m/>
    <s v="Entregado al area"/>
    <x v="1"/>
    <s v="24 DE ENERO EN COTIZACIONES_x000a_26 de enero en revision de la fpa e invitacion_x000a_28 de enero en recepcion de ofertas"/>
    <m/>
    <d v="2022-02-15T00:00:00"/>
    <x v="2"/>
    <m/>
    <n v="26"/>
    <n v="25"/>
    <x v="2"/>
    <s v="FUNCIONAMIENTO"/>
    <x v="65"/>
    <d v="2022-01-28T00:00:00"/>
    <n v="55499999"/>
    <s v="VE COLOMBIA SAS"/>
    <m/>
    <n v="0"/>
    <m/>
    <m/>
    <s v="N/A"/>
    <s v="N/A"/>
    <m/>
    <s v="MEDELLIN "/>
    <s v="NACIONAL"/>
    <m/>
    <n v="0"/>
    <x v="0"/>
    <n v="1"/>
    <n v="18"/>
  </r>
  <r>
    <n v="74"/>
    <s v="0074"/>
    <x v="2"/>
    <d v="2022-01-20T00:00:00"/>
    <x v="1"/>
    <s v="GAA0360"/>
    <s v="FR-300-GAA-0012-2022"/>
    <s v="N/A"/>
    <s v="Ejecución de monitoreos de los vertimientos de los diferentes usuarios industriales, oficiales, especiales y comerciales sujetos a presentar caracterización de vertimientos conforme lo establece el Decreto 1076 de 2015 y la Resolución 0631 de 2015, con el fin de verificar el cumplimiento de la norma de vertimiento."/>
    <n v="333219580"/>
    <s v="11 meses"/>
    <s v="900-IP-0120-2022"/>
    <m/>
    <n v="202200919"/>
    <n v="333219580"/>
    <s v="N/A"/>
    <s v="N/A"/>
    <m/>
    <x v="2"/>
    <s v="JULIO GARCIA"/>
    <d v="2022-01-20T00:00:00"/>
    <m/>
    <m/>
    <m/>
    <s v="Entregado al area"/>
    <x v="1"/>
    <s v="21 de enero en solicitud de conceptos_x000a_24 de enero en recepcion de cotizaciones_x000a_26 DE ENERO EN ELABORACION DE LA  EVALUACION _x000a_28 de enero para firma de la aceptacion_x000a_"/>
    <m/>
    <d v="2022-02-07T00:00:00"/>
    <x v="2"/>
    <m/>
    <n v="18"/>
    <n v="18"/>
    <x v="2"/>
    <s v="FUNCIONAMIENTO"/>
    <x v="66"/>
    <d v="2022-01-28T00:00:00"/>
    <n v="299483180"/>
    <s v="DBO INGENIERIA LTDA"/>
    <m/>
    <n v="33736400"/>
    <m/>
    <m/>
    <s v="N/A"/>
    <s v="N/A"/>
    <m/>
    <s v="ACOPI"/>
    <s v="YUMBO"/>
    <m/>
    <n v="0.10124375044227593"/>
    <x v="0"/>
    <n v="1"/>
    <n v="12"/>
  </r>
  <r>
    <n v="75"/>
    <s v="0075"/>
    <x v="2"/>
    <d v="2022-01-20T00:00:00"/>
    <x v="1"/>
    <s v="GAA0355"/>
    <s v="FR-300-GAA-0005-2022"/>
    <s v="N/A"/>
    <s v="Mantenimiento equipos menores (martillos, guadañas,mezcladoras,blowers saltarines, compresores y otros) utilizados en la reparación de daños y en las labores de matenimiento del servicio de alcantarillado del Departamento de Recolección."/>
    <n v="51766000"/>
    <s v="3 Meses"/>
    <s v="900-IP-0103-2022"/>
    <m/>
    <n v="202200914"/>
    <m/>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_x000a__x000a_"/>
    <m/>
    <d v="2022-02-04T00:00:00"/>
    <x v="2"/>
    <m/>
    <n v="15"/>
    <n v="15"/>
    <x v="2"/>
    <s v="FUNCIONAMIENTO"/>
    <x v="67"/>
    <d v="2022-01-27T00:00:00"/>
    <n v="51766000"/>
    <s v="TALLERES BRIG LTDA"/>
    <m/>
    <n v="0"/>
    <m/>
    <m/>
    <s v="N/A"/>
    <s v="N/A"/>
    <m/>
    <s v="CALI"/>
    <s v="LOCAL"/>
    <m/>
    <n v="0"/>
    <x v="0"/>
    <n v="1"/>
    <n v="11"/>
  </r>
  <r>
    <n v="76"/>
    <s v="0076"/>
    <x v="2"/>
    <d v="2022-01-20T00:00:00"/>
    <x v="1"/>
    <s v="GAA0631"/>
    <s v="FR-300-GAA-0024-2022"/>
    <s v="N/A"/>
    <s v="Reposición redes alcantarillado barrio La Paz Comuna 02"/>
    <n v="130669738"/>
    <s v="6 meses"/>
    <s v="900-IP-0099-2022"/>
    <m/>
    <n v="202201924"/>
    <n v="13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x v="2"/>
    <s v="INVERSION"/>
    <x v="68"/>
    <d v="2022-01-27T00:00:00"/>
    <n v="128331708"/>
    <s v="HABILIDADES ESATRUCTURALES EN INGENIERIA  LTDA"/>
    <m/>
    <n v="2338030"/>
    <m/>
    <m/>
    <s v="N/A"/>
    <s v="N/A"/>
    <m/>
    <s v="BUENAVENTURA"/>
    <s v="REGIONAL"/>
    <m/>
    <n v="1.789266616574987E-2"/>
    <x v="0"/>
    <n v="1"/>
    <n v="12"/>
  </r>
  <r>
    <n v="77"/>
    <s v="0077"/>
    <x v="2"/>
    <d v="2022-01-20T00:00:00"/>
    <x v="1"/>
    <s v="GAA0634"/>
    <s v="FR-300-GAA-0023-2022"/>
    <s v="N/A"/>
    <s v="Reposición redes alcantarillado barrios Navarro La Chanca"/>
    <n v="213249448"/>
    <s v="2 meses"/>
    <s v="900-IP-0097-2021"/>
    <m/>
    <n v="202201928"/>
    <n v="215000000"/>
    <s v="N/A"/>
    <s v="N/A"/>
    <m/>
    <x v="2"/>
    <s v="JUAN PABLO QUIMBAYO"/>
    <d v="2022-01-20T00:00:00"/>
    <m/>
    <m/>
    <m/>
    <s v="Entregado al area"/>
    <x v="1"/>
    <s v="21 de enero en cotizaciones_x000a_24 DE ENERO EN INVITACION A OFERTAR_x000a_26 de enero en revision de la evaluacion _x000a_27 de enero en Rp y polizas_x000a_"/>
    <m/>
    <d v="2022-02-07T00:00:00"/>
    <x v="2"/>
    <m/>
    <n v="18"/>
    <n v="18"/>
    <x v="2"/>
    <s v="INVERSION"/>
    <x v="69"/>
    <d v="2022-01-27T00:00:00"/>
    <n v="210626684"/>
    <s v="PROYECTOS Y CONSTRUCCIONES DEL PACIFICO SAS"/>
    <m/>
    <n v="2622764"/>
    <m/>
    <m/>
    <s v="N/A"/>
    <s v="N/A"/>
    <m/>
    <s v="BUENAVENTURA"/>
    <s v="REGIONAL"/>
    <m/>
    <n v="1.2299042387204679E-2"/>
    <x v="0"/>
    <n v="1"/>
    <n v="12"/>
  </r>
  <r>
    <n v="78"/>
    <s v="0078"/>
    <x v="2"/>
    <d v="2022-01-20T00:00:00"/>
    <x v="1"/>
    <s v="GAA0358"/>
    <s v="FR-300-GAA-0010-2022"/>
    <s v="N/A"/>
    <s v="Efectuar el aseo y la limpieza de las estructuras desarenadoras de la ciudad de Cali, y principalmente las estructuras desarenadoras de Guarrus y El Indio."/>
    <n v="213039830"/>
    <s v="10 meses"/>
    <s v="900-IP-0105-2022"/>
    <m/>
    <n v="202200917"/>
    <n v="213084732"/>
    <s v="N/A"/>
    <s v="N/A"/>
    <m/>
    <x v="2"/>
    <s v="VIAGNERY LOPEZ"/>
    <d v="2022-01-20T00:00:00"/>
    <m/>
    <m/>
    <m/>
    <s v="Entregado al area"/>
    <x v="1"/>
    <s v="24 de enero en invitacion a ofertar_x000a_26 de enero en aceptacion_x000a_27 de enero en solicitud de polizas y rp"/>
    <m/>
    <d v="2022-02-08T00:00:00"/>
    <x v="2"/>
    <m/>
    <n v="19"/>
    <n v="19"/>
    <x v="2"/>
    <s v="FUNCIONAMIENTO"/>
    <x v="70"/>
    <d v="2022-01-27T00:00:00"/>
    <n v="211031794"/>
    <s v="TECNISERICIOS DEL CENTRO DEL VALLE SAS"/>
    <m/>
    <n v="2008036"/>
    <m/>
    <m/>
    <s v="N/A"/>
    <s v="N/A"/>
    <m/>
    <s v="TULUA"/>
    <s v="REGIONAL"/>
    <m/>
    <n v="9.4256365112570725E-3"/>
    <x v="0"/>
    <n v="1"/>
    <n v="13"/>
  </r>
  <r>
    <n v="79"/>
    <s v="0079"/>
    <x v="2"/>
    <d v="2022-01-20T00:00:00"/>
    <x v="1"/>
    <s v="GAA0352"/>
    <s v="FR-300-GAA-0008-2022"/>
    <s v="N/A"/>
    <s v="Efectuar la limpieza por barrido de los Sumideros de la Ciudad de Cali"/>
    <n v="828849251"/>
    <s v="10 meses"/>
    <s v="900-IP-0104-2022"/>
    <m/>
    <n v="202200911"/>
    <n v="828850425"/>
    <s v="N/A"/>
    <s v="N/A"/>
    <m/>
    <x v="2"/>
    <s v="VIAGNERY LOPEZ"/>
    <d v="2022-01-20T00:00:00"/>
    <m/>
    <m/>
    <m/>
    <s v="Entregado al area"/>
    <x v="1"/>
    <s v="24 de enero en invitacion a ofertar_x000a_26 de enero en aceptacion_x000a_27 de enero en solicitud de polizas y rp"/>
    <m/>
    <d v="2022-02-02T00:00:00"/>
    <x v="2"/>
    <m/>
    <n v="13"/>
    <n v="13"/>
    <x v="4"/>
    <s v="FUNCIONAMIENTO"/>
    <x v="71"/>
    <d v="2022-01-27T00:00:00"/>
    <n v="828709808"/>
    <s v="FUNDACION CENTRO ESPECIALIZADO EN SOLUCIONES Y ADMINISTRACION RECURSOS- FUNDACESAR"/>
    <m/>
    <n v="139443"/>
    <m/>
    <m/>
    <s v="N/A"/>
    <s v="N/A"/>
    <m/>
    <s v="CALI"/>
    <s v="LOCAL"/>
    <m/>
    <n v="1.6823686554794269E-4"/>
    <x v="0"/>
    <n v="1"/>
    <n v="9"/>
  </r>
  <r>
    <n v="80"/>
    <s v="0080"/>
    <x v="2"/>
    <d v="2022-01-20T00:00:00"/>
    <x v="1"/>
    <s v="GAA0354"/>
    <s v="FR-300-GAA-0006-2022"/>
    <s v="N/A"/>
    <s v="Mnatenimiento de las lagunas Charco Azul y El Pondaje."/>
    <n v="430492113"/>
    <s v="10 meses"/>
    <s v="900-IP-0085-2022"/>
    <m/>
    <n v="202200913"/>
    <n v="444639048"/>
    <s v="N/A"/>
    <s v="N/A"/>
    <m/>
    <x v="2"/>
    <s v="JUAN PABLO QUIMBAYO"/>
    <d v="2022-01-20T00:00:00"/>
    <m/>
    <m/>
    <m/>
    <s v="Entregado al area"/>
    <x v="1"/>
    <s v="21 de enero en cotizaciones_x000a_24 DE ENERO EN INVITACION A OFERTAR_x000a_26 de enero para firma de la aceptacion de la oferta_x000a_27 de enero en Rp y polizas"/>
    <m/>
    <d v="2022-02-04T00:00:00"/>
    <x v="2"/>
    <m/>
    <n v="15"/>
    <n v="15"/>
    <x v="2"/>
    <s v="G"/>
    <x v="72"/>
    <d v="2022-01-27T00:00:00"/>
    <n v="430491890"/>
    <s v="FUNDACION CENTRO ESPECIALIZADO EN SOLUCIONES Y ADMINISTRACION RECURSOS- FUNDACESAR"/>
    <m/>
    <n v="223"/>
    <m/>
    <m/>
    <s v="N/A"/>
    <s v="N/A"/>
    <m/>
    <s v="CALI"/>
    <s v="LOCAL"/>
    <m/>
    <n v="5.1801181314557556E-7"/>
    <x v="0"/>
    <n v="1"/>
    <n v="11"/>
  </r>
  <r>
    <n v="81"/>
    <s v="0081"/>
    <x v="2"/>
    <d v="2022-01-20T00:00:00"/>
    <x v="1"/>
    <s v="GAA0353"/>
    <s v="FR-300-GAA-0009-2022"/>
    <s v="N/A"/>
    <s v="Efectuar el aseo y limpieza de canales a mano de la ciudad de Cali."/>
    <n v="553875968"/>
    <s v="10 meses"/>
    <s v="900-IP-0084-2022"/>
    <m/>
    <n v="202200912"/>
    <n v="553885500"/>
    <s v="N/A"/>
    <s v="N/A"/>
    <m/>
    <x v="2"/>
    <s v="HAROLD MONDRAGON"/>
    <d v="2022-01-20T00:00:00"/>
    <m/>
    <m/>
    <m/>
    <s v="Entregado al area"/>
    <x v="1"/>
    <s v="21 de enero en cotizaciones _x000a_24 DE ENERO EN ELABORACION DE LA FPA E INVITACION_x000a_26 DE ENERO EN REVISION DE LA EVALUACION_x000a_27 de enero en solicitud de polizas y registro presupuestal"/>
    <m/>
    <d v="2022-02-10T00:00:00"/>
    <x v="2"/>
    <m/>
    <n v="21"/>
    <n v="21"/>
    <x v="4"/>
    <s v="FUNCIONAMIENTO"/>
    <x v="73"/>
    <d v="2022-01-27T00:00:00"/>
    <n v="553859106"/>
    <s v="FUNDACION CALI BRILLA SOL Y LUNA ONG"/>
    <m/>
    <n v="16862"/>
    <m/>
    <m/>
    <s v="N/A"/>
    <s v="N/A"/>
    <m/>
    <s v="CALI"/>
    <s v="LOCAL"/>
    <m/>
    <n v="3.0443638962866141E-5"/>
    <x v="0"/>
    <n v="1"/>
    <n v="15"/>
  </r>
  <r>
    <n v="82"/>
    <s v="0082"/>
    <x v="1"/>
    <d v="2022-01-20T00:00:00"/>
    <x v="1"/>
    <s v="GE0308"/>
    <s v="FR-500-GE-0122-2022"/>
    <s v="N/A"/>
    <s v="Realizar el alquiler de la licencia del software SIAP para la gestión de la administración, operación, mantenimiento, expansión y modernización del sistema de alumbrado público del Distrito de Santiago de Cali en cumplimiento del numeral 580.1 del RETILAP y la Resolución CREG 123 de 2011."/>
    <n v="1479301367"/>
    <s v="11 meses"/>
    <s v="900-IP-0121-2020"/>
    <m/>
    <n v="202201863"/>
    <m/>
    <s v="N/A"/>
    <s v="N/A"/>
    <m/>
    <x v="2"/>
    <s v="LAURA PIMIENTA"/>
    <d v="2022-01-21T00:00:00"/>
    <m/>
    <m/>
    <m/>
    <s v="Entregado al area"/>
    <x v="1"/>
    <s v="21 DE ENERO EN SOLCITIUD DE CONCEPTOS_x000a_24 de enero en elaboracion de fpa e invitacion_x000a_26 de enero se devuelve porque no cumple con las condiciones de ser proveedor unico_x000a_27 de enero se re abree el preoceso por orden del gerente Jorge y Marino_x000a_27 de enero en recepcion de ofertas_x000a_28 DE ENERO EN RECEPCION DE OFERTAS"/>
    <m/>
    <d v="2022-02-08T00:00:00"/>
    <x v="2"/>
    <m/>
    <n v="19"/>
    <n v="18"/>
    <x v="1"/>
    <s v="OPERACIÓN"/>
    <x v="74"/>
    <d v="2022-01-28T00:00:00"/>
    <n v="1479300867"/>
    <s v="ELECTRO SOFTWARE SAS BIC"/>
    <m/>
    <n v="500"/>
    <m/>
    <m/>
    <s v="N/A"/>
    <s v="N/A"/>
    <m/>
    <s v="BU1CARAMANGA"/>
    <s v="NACIONAL"/>
    <m/>
    <n v="3.3799738927706944E-7"/>
    <x v="0"/>
    <n v="1"/>
    <n v="13"/>
  </r>
  <r>
    <n v="83"/>
    <s v="0083"/>
    <x v="1"/>
    <d v="2022-01-20T00:00:00"/>
    <x v="1"/>
    <s v="GE0229"/>
    <s v="FR-500-GE-0123-2022"/>
    <s v="N/A"/>
    <s v="Suministro de Fusibles de T de Media Tension."/>
    <n v="27612284"/>
    <m/>
    <s v="900-IP-0111-2022"/>
    <s v="IP-"/>
    <n v="202201998"/>
    <m/>
    <s v="N/A"/>
    <s v="N/A"/>
    <s v="N/A"/>
    <x v="2"/>
    <s v="SILVIA GALINDO"/>
    <d v="2022-01-20T00:00:00"/>
    <e v="#VALUE!"/>
    <e v="#VALUE!"/>
    <s v="NO"/>
    <s v="Devuelto"/>
    <x v="2"/>
    <m/>
    <s v="24 DE ENERO EN COTIZACIONES_x000a_26 de enero en elaboracion de fpa e invitacion_x000a_28 DE ENERO EN ELABORACION DE LA FPA"/>
    <d v="2022-01-28T00:00:00"/>
    <x v="5"/>
    <s v="ene"/>
    <n v="8"/>
    <n v="8"/>
    <x v="2"/>
    <s v="FUNCIONAMIENTO"/>
    <x v="0"/>
    <m/>
    <m/>
    <m/>
    <m/>
    <n v="27612284"/>
    <m/>
    <m/>
    <m/>
    <m/>
    <m/>
    <m/>
    <m/>
    <m/>
    <m/>
    <x v="0"/>
    <m/>
    <m/>
  </r>
  <r>
    <n v="84"/>
    <s v="0084"/>
    <x v="2"/>
    <d v="2022-01-21T00:00:00"/>
    <x v="1"/>
    <s v="GAA0640"/>
    <s v="FR-300-GAA-0020-2022"/>
    <s v="N/A"/>
    <s v="Reposición redes alcantarillado barrio La Merced"/>
    <n v="492062894"/>
    <s v="6 meses"/>
    <s v="900-IP-0122-2022"/>
    <m/>
    <n v="202201920"/>
    <n v="495000000"/>
    <s v="N/A"/>
    <s v="N/A"/>
    <m/>
    <x v="2"/>
    <s v="VIAGNERY LOPEZ"/>
    <d v="2022-01-21T00:00:00"/>
    <m/>
    <m/>
    <m/>
    <s v="Entregado al area"/>
    <x v="1"/>
    <s v="24 de enero en invitacion a ofertar_x000a_26 de enero en aceptacion_x000a_27 de enero en solicitud de polizas y rp"/>
    <m/>
    <d v="2022-02-03T00:00:00"/>
    <x v="2"/>
    <m/>
    <n v="13"/>
    <n v="13"/>
    <x v="2"/>
    <s v="INVERSION"/>
    <x v="75"/>
    <d v="2022-01-27T00:00:00"/>
    <n v="488670524"/>
    <s v="CMO CONTRATISTAS MANO DE OBRA SAS"/>
    <m/>
    <n v="3392370"/>
    <m/>
    <m/>
    <m/>
    <m/>
    <m/>
    <s v="CALI"/>
    <s v="LOCAL"/>
    <m/>
    <n v="6.8941796696419871E-3"/>
    <x v="0"/>
    <n v="1"/>
    <n v="9"/>
  </r>
  <r>
    <n v="85"/>
    <s v="0085"/>
    <x v="5"/>
    <d v="2022-01-21T00:00:00"/>
    <x v="1"/>
    <s v="GHA0086"/>
    <s v="FR-800-GAGHA-0124-2022"/>
    <s v="N/A"/>
    <s v="Realizar el suministro e instalación de llantas nuevas (incluye neumático y protector), rines,válvulas, neumáticos y protectores nuevos, marcación, alineación, balanceo y rotación de llantas, a la inmediatez de la necesidad para el Parque Automotor de EMCALI EICE ESP."/>
    <n v="500000000"/>
    <m/>
    <s v="900-IP-0128-2022"/>
    <s v="IP-"/>
    <m/>
    <m/>
    <s v="N/A"/>
    <s v="N/A"/>
    <s v="N/A"/>
    <x v="2"/>
    <s v="LEIDY DIANA FRANCO"/>
    <d v="2022-01-26T00:00:00"/>
    <e v="#VALUE!"/>
    <e v="#VALUE!"/>
    <s v="NO"/>
    <s v="Devuelto"/>
    <x v="2"/>
    <m/>
    <s v="24 DE ENERO EN SOLICITUD DE CONCEPTOS_x000a_26 de enero en solicitud de cotizaciones_x000a_28 de enero solciitud de devolucion por parte del area para ajustar el presupuesto _x000a_se devuelve el proceso porque el proveedor  o_x000a_"/>
    <d v="2022-01-28T00:00:00"/>
    <x v="5"/>
    <s v="ene"/>
    <n v="7"/>
    <n v="2"/>
    <x v="2"/>
    <s v="FUNCIONAMIENTO"/>
    <x v="0"/>
    <m/>
    <m/>
    <m/>
    <m/>
    <n v="500000000"/>
    <m/>
    <m/>
    <m/>
    <m/>
    <m/>
    <m/>
    <m/>
    <m/>
    <m/>
    <x v="1"/>
    <m/>
    <m/>
  </r>
  <r>
    <n v="86"/>
    <s v="0086"/>
    <x v="2"/>
    <d v="2022-01-21T00:00:00"/>
    <x v="1"/>
    <s v="GAA0345"/>
    <s v="FR-300-GAA-0032-2022"/>
    <s v="N/A"/>
    <s v="Monitoreo de vertimientos finales al sistema de drenaje de la ciudad de Cali."/>
    <n v="369071937"/>
    <s v="240 dias"/>
    <s v="900-IP-0127-2022"/>
    <m/>
    <n v="202201968"/>
    <n v="37110000"/>
    <s v="N/A"/>
    <s v="N/A"/>
    <m/>
    <x v="2"/>
    <s v="JULIO GARCIA"/>
    <d v="2022-01-21T00:00:00"/>
    <m/>
    <m/>
    <m/>
    <s v="Entregado al area"/>
    <x v="1"/>
    <s v="24 de enero en recepcion de cotizaciones_x000a_26 DE ENERO EN ELABORACION DE LA  EVALUACION _x000a_28 de enero para firma de la aceptacion"/>
    <m/>
    <d v="2022-02-07T00:00:00"/>
    <x v="2"/>
    <m/>
    <n v="17"/>
    <n v="17"/>
    <x v="2"/>
    <s v="FUNCIONAMIENTO"/>
    <x v="76"/>
    <d v="2022-01-26T00:00:00"/>
    <n v="358665166"/>
    <s v="DBO INGENIERIA LTDA"/>
    <m/>
    <n v="10406771"/>
    <m/>
    <m/>
    <s v="N/A"/>
    <s v="N//A"/>
    <m/>
    <s v="ACOPI"/>
    <s v="MUNICIPAL"/>
    <m/>
    <n v="2.8197134370582067E-2"/>
    <x v="0"/>
    <n v="1"/>
    <n v="11"/>
  </r>
  <r>
    <n v="87"/>
    <s v="0087"/>
    <x v="0"/>
    <d v="2022-01-19T00:00:00"/>
    <x v="1"/>
    <s v="GT0191"/>
    <s v="FR-400-GT-0002-2022"/>
    <s v="N/A"/>
    <s v="Suministro de conectores para realizar empalme de conductores de cobre en cables multipares de uso en la red de planta externa requeridos para el mantenimiento de las redes de acceso de la GUENTIC."/>
    <n v="143761000"/>
    <s v="90 dias"/>
    <s v="900-IP-0059-2022"/>
    <m/>
    <n v="202201972"/>
    <m/>
    <s v="N/A"/>
    <s v="N/A"/>
    <m/>
    <x v="2"/>
    <s v="ANA MARIA GIL"/>
    <d v="2022-01-19T00:00:00"/>
    <m/>
    <m/>
    <m/>
    <s v="Entregado al area"/>
    <x v="1"/>
    <s v="21 DE ENERO PARA FIRMA DE JEFE JORGE DE LA FPA E INVITACION. Este proceso de devolvio porque se tuvo que modificar el formulario de precios y cantidades, se recibio nuevamente con el mismo numero unico y PACC_x000a_24 de enero en recepcion de ofertas_x000a_26 de enero en revision de la evaluacion_x000a_28 de enero en espera de la numeracion de la aceptacion _x000a_aporbacion de polizas"/>
    <m/>
    <d v="2022-02-07T00:00:00"/>
    <x v="2"/>
    <m/>
    <n v="19"/>
    <n v="19"/>
    <x v="2"/>
    <s v="FUNCIONAMIENTO"/>
    <x v="77"/>
    <d v="2022-01-27T00:00:00"/>
    <n v="143641925"/>
    <s v="SUMINISTROS Y SERVICIOS TECNICOS SOCIEDAD  POR ACCIONES SIMPLICADA SAS"/>
    <m/>
    <n v="119075"/>
    <m/>
    <m/>
    <m/>
    <m/>
    <m/>
    <s v="CALI"/>
    <s v="LOCAL"/>
    <m/>
    <n v="8.2828444432078241E-4"/>
    <x v="0"/>
    <n v="1"/>
    <n v="13"/>
  </r>
  <r>
    <n v="88"/>
    <s v="0088"/>
    <x v="1"/>
    <d v="2022-01-24T00:00:00"/>
    <x v="1"/>
    <s v="GE0298"/>
    <s v="FR-500-GE-0109-2022"/>
    <s v="N/A"/>
    <s v="Suministro de Medidores de Energía Electronicos Monofasico-Bifasico-Trifasico para Medida Directa."/>
    <n v="399937342"/>
    <s v="120 dias"/>
    <s v="900-IP-0125-2022"/>
    <m/>
    <n v="202202112"/>
    <n v="399937342"/>
    <s v="N/A"/>
    <s v="N/A"/>
    <m/>
    <x v="2"/>
    <s v="JUAN PABLO QUIMBAYO"/>
    <d v="2022-01-24T00:00:00"/>
    <m/>
    <m/>
    <m/>
    <s v="Entregado al area"/>
    <x v="1"/>
    <s v="26 de enero en revision de la  evaluacion_x000a_27 de enero en Rp y polizas"/>
    <m/>
    <d v="2022-02-09T00:00:00"/>
    <x v="2"/>
    <m/>
    <n v="16"/>
    <n v="16"/>
    <x v="2"/>
    <s v="OPERACIÓN"/>
    <x v="78"/>
    <d v="2022-01-27T00:00:00"/>
    <n v="399912352"/>
    <s v="INDUSTRIAL ELECTRICA DEL CAUCA SAS"/>
    <m/>
    <n v="24990"/>
    <m/>
    <m/>
    <s v="2021-392"/>
    <d v="2022-01-04T00:00:00"/>
    <m/>
    <s v="CALI"/>
    <s v="LOCAL"/>
    <m/>
    <n v="6.2484787929605235E-5"/>
    <x v="0"/>
    <n v="1"/>
    <n v="12"/>
  </r>
  <r>
    <n v="89"/>
    <s v="0089"/>
    <x v="1"/>
    <d v="2022-01-24T00:00:00"/>
    <x v="1"/>
    <s v="GE0287"/>
    <s v="FR-500-GE-0156-2022"/>
    <s v="N/A"/>
    <s v="Suministro DDP de reconectadores de 13,2 KV y 34,5 KV de las características técnicas que se indican en las especificaciones técnicas"/>
    <n v="499087585"/>
    <s v="2 meses"/>
    <s v="900-IP-0132-2022"/>
    <m/>
    <n v="202201764"/>
    <n v="499087585"/>
    <s v="N/A"/>
    <s v="N/A"/>
    <m/>
    <x v="2"/>
    <s v="JUAN PABLO QUIMBAYO"/>
    <d v="2022-01-24T00:00:00"/>
    <m/>
    <m/>
    <m/>
    <s v="Entregado al area"/>
    <x v="1"/>
    <s v="26 de enero en revision de la  evaluacion_x000a_27 de enero en Rp y polizas"/>
    <m/>
    <d v="2022-02-03T00:00:00"/>
    <x v="2"/>
    <m/>
    <n v="10"/>
    <n v="10"/>
    <x v="2"/>
    <s v="INVERSION"/>
    <x v="79"/>
    <d v="2022-01-27T00:00:00"/>
    <n v="485124920"/>
    <s v="POTENCIA Y TECNOLOGIAS INCORPORADAS SA"/>
    <m/>
    <n v="13962665"/>
    <m/>
    <m/>
    <m/>
    <m/>
    <m/>
    <s v="CALI"/>
    <s v="LOCAL"/>
    <m/>
    <n v="2.7976382141423135E-2"/>
    <x v="0"/>
    <n v="1"/>
    <n v="8"/>
  </r>
  <r>
    <n v="90"/>
    <s v="0090"/>
    <x v="0"/>
    <d v="2022-01-21T00:00:00"/>
    <x v="1"/>
    <s v="GT0188"/>
    <s v="FR-400-GT-0006-2022"/>
    <s v="N/A"/>
    <s v="a) Suministro, instalación y puesta en marcha de un sistema de control de apertura basado en RFID para cinco (5) racks dentro de la sala de equipos de las Centrales. Compatible con Plataforma SICA actualmente en servicio dentro de EMCALI; b) Suministro, instalación y puesta en marcha de un sistema de Telemetría para los equipos de apoyo involucrados en los sitemas de Climatización y Potencia para Diez (10) Centrales de EMCALI; c) Actualización de las herramientas de administración, dashboard y notificación de eventos con los nuevos equipos instalados en los ítems anteriores."/>
    <n v="399966126"/>
    <s v="31 de diciembre 2022"/>
    <s v="900-IP-0126-2022"/>
    <m/>
    <n v="202201980"/>
    <m/>
    <s v="N/A"/>
    <s v="N/A"/>
    <m/>
    <x v="2"/>
    <s v="MARIO AREVALO"/>
    <d v="2022-01-21T00:00:00"/>
    <m/>
    <m/>
    <m/>
    <s v="Entregado al area"/>
    <x v="1"/>
    <s v="26 DE ENERO EN REVISION DE LA INVITACION Y FPA_x000a_28 DE ENERO EN REVISION DE LA EVALUACION"/>
    <m/>
    <d v="2022-02-11T00:00:00"/>
    <x v="2"/>
    <m/>
    <n v="21"/>
    <n v="21"/>
    <x v="1"/>
    <s v="INVERSION"/>
    <x v="80"/>
    <d v="2022-01-28T00:00:00"/>
    <n v="399966126"/>
    <s v="COLBITS SAS"/>
    <m/>
    <n v="0"/>
    <m/>
    <m/>
    <s v="N/A"/>
    <s v="N/A"/>
    <m/>
    <s v="CALI"/>
    <s v="LOCAL"/>
    <m/>
    <n v="0"/>
    <x v="0"/>
    <n v="1"/>
    <n v="15"/>
  </r>
  <r>
    <n v="91"/>
    <s v="0091"/>
    <x v="1"/>
    <d v="2022-01-24T00:00:00"/>
    <x v="1"/>
    <s v="GE0256"/>
    <s v="FR-500-GE-0128-2022"/>
    <s v="N/A"/>
    <s v="Realizar mediciones ambientales de ruido y de campos electromagnéticos en subestaciones de energía y lineas de Subtransmisión a 115 Kv."/>
    <n v="26610066"/>
    <m/>
    <s v="900-IP-0136-2022"/>
    <s v="IP-"/>
    <n v="202202106"/>
    <m/>
    <s v="N/A"/>
    <s v="N/A"/>
    <s v="N/A"/>
    <x v="2"/>
    <s v="JHON LARRY "/>
    <d v="2022-01-24T00:00:00"/>
    <e v="#VALUE!"/>
    <e v="#VALUE!"/>
    <s v="NO"/>
    <s v="Devuelto"/>
    <x v="2"/>
    <m/>
    <s v="26 DE ENERO EN COTIZACIONES_x000a_28 de enero en solicitud de cotizaciones "/>
    <d v="2022-02-17T00:00:00"/>
    <x v="5"/>
    <s v="feb"/>
    <n v="24"/>
    <n v="24"/>
    <x v="2"/>
    <s v="FUNCIONAMIENTO"/>
    <x v="0"/>
    <m/>
    <m/>
    <m/>
    <m/>
    <n v="26610066"/>
    <m/>
    <m/>
    <m/>
    <m/>
    <m/>
    <m/>
    <m/>
    <m/>
    <m/>
    <x v="0"/>
    <m/>
    <m/>
  </r>
  <r>
    <n v="92"/>
    <s v="0092"/>
    <x v="1"/>
    <d v="2022-01-24T00:00:00"/>
    <x v="1"/>
    <s v="GE0305"/>
    <s v="FR-500-GE-0118-2022"/>
    <s v="N/A"/>
    <s v="Suministro de CONECTORES Y condiciones  técnicas. GRAPAS"/>
    <n v="70583125"/>
    <s v="31 de diciembre 2022"/>
    <s v="_x000a_900-IP-0157-2021_x000a_"/>
    <m/>
    <n v="202201916"/>
    <n v="152821240"/>
    <s v="N/A"/>
    <s v="N/A"/>
    <m/>
    <x v="2"/>
    <s v="LINA ECHAVARRIA"/>
    <d v="2022-01-24T00:00:00"/>
    <m/>
    <m/>
    <m/>
    <s v="Entregado al area"/>
    <x v="1"/>
    <s v="26 DE ENERO EN ELABORACION DE LA FPA E INVITACION_x000a_28 DE ENERO EN REVISION DE LA INVITACION "/>
    <m/>
    <d v="2022-02-08T00:00:00"/>
    <x v="2"/>
    <m/>
    <n v="15"/>
    <n v="15"/>
    <x v="2"/>
    <s v="OPERACIÓN_x000a_FUNCIONAMIENTO_x000a_INVERSION"/>
    <x v="81"/>
    <d v="2022-01-28T00:00:00"/>
    <n v="70583125"/>
    <s v="ELECTRICOS DEL VALLE SA"/>
    <m/>
    <n v="0"/>
    <m/>
    <m/>
    <s v="2022-024"/>
    <d v="2022-01-19T00:00:00"/>
    <m/>
    <s v="CALI"/>
    <s v="LOCAL"/>
    <m/>
    <n v="0"/>
    <x v="0"/>
    <n v="1"/>
    <n v="11"/>
  </r>
  <r>
    <n v="93"/>
    <s v="0093"/>
    <x v="5"/>
    <d v="2022-01-24T00:00:00"/>
    <x v="1"/>
    <s v="GHA0013"/>
    <s v="FR-800-GAGHA-0080-2022"/>
    <s v="N/A"/>
    <s v="Elaborar y entregar recordatorios y botones fundidos y grabados con el logo de EMCALI EICE ESP."/>
    <n v="13301761"/>
    <m/>
    <m/>
    <s v=""/>
    <n v="202201822"/>
    <m/>
    <s v="N/A"/>
    <s v="N/A"/>
    <s v="N/A"/>
    <x v="3"/>
    <s v="MARIO AREVALO"/>
    <d v="2022-01-24T00:00:00"/>
    <e v="#VALUE!"/>
    <e v="#VALUE!"/>
    <s v="NO"/>
    <s v="Devuelto"/>
    <x v="2"/>
    <m/>
    <s v="26 DE ENERO EN REVISION DE LA INVITACION Y FPA_x000a_28 DE ENERO EN REVISION DE LA INVITACION"/>
    <d v="2022-01-28T00:00:00"/>
    <x v="5"/>
    <s v="ene"/>
    <n v="4"/>
    <n v="4"/>
    <x v="2"/>
    <s v="FUNCIONAMIENTO"/>
    <x v="0"/>
    <m/>
    <m/>
    <m/>
    <m/>
    <n v="13301761"/>
    <m/>
    <m/>
    <m/>
    <m/>
    <m/>
    <m/>
    <m/>
    <m/>
    <m/>
    <x v="1"/>
    <m/>
    <m/>
  </r>
  <r>
    <n v="94"/>
    <s v="0094"/>
    <x v="6"/>
    <d v="2022-01-24T00:00:00"/>
    <x v="1"/>
    <s v="GHA0013"/>
    <s v="FR-200-GTI-0004-2022"/>
    <s v="N/A"/>
    <s v="Contratar los servicios profesionales para realizar las actividades de análisis, diseño, desarrollo, pruebas, documentación, de los requerimientos solicitados por la Gerencia Comercial sobre la funcionalidad de emisión de facturación electrónica, enmarcados en las especificaciones técnicas requeridas."/>
    <n v="300000000"/>
    <s v="31 de diciembre 2022"/>
    <s v="900-IP-0139-2022"/>
    <m/>
    <n v="202201822"/>
    <n v="300000000"/>
    <s v="N/A"/>
    <s v="N/A"/>
    <m/>
    <x v="2"/>
    <s v="PABLO CAICEDO"/>
    <d v="2022-01-24T00:00:00"/>
    <m/>
    <m/>
    <m/>
    <s v="Entregado al area"/>
    <x v="1"/>
    <s v="26 de enero en recepcion de ofertas_x000a_28 DE ENERO EN ELABORACION DE LA EVALUACION"/>
    <m/>
    <d v="2022-02-11T00:00:00"/>
    <x v="2"/>
    <m/>
    <n v="18"/>
    <n v="18"/>
    <x v="2"/>
    <s v="FUNCIONAMIENTO"/>
    <x v="82"/>
    <d v="2022-01-28T00:00:00"/>
    <n v="294000000"/>
    <s v="NEURO MEDIA SAS"/>
    <m/>
    <n v="6000000"/>
    <m/>
    <m/>
    <s v="N/A"/>
    <s v="N/A"/>
    <m/>
    <s v="CALI"/>
    <s v="LOCAL"/>
    <m/>
    <n v="0.02"/>
    <x v="1"/>
    <n v="1"/>
    <n v="14"/>
  </r>
  <r>
    <n v="95"/>
    <s v="0095"/>
    <x v="6"/>
    <d v="2022-01-21T00:00:00"/>
    <x v="1"/>
    <s v="GTI0045"/>
    <s v="FR-200-GTI-0005-2022"/>
    <s v="N/A"/>
    <s v="Activar y configurar un módulo de firmado electrónico de pagarés para los procesos financieros que cuente con el sustento jurídico y la custodia de la copia de respaldo de los documentos firmados."/>
    <n v="264903917"/>
    <s v="31de diciembre 2022"/>
    <s v="900-IP-0146-2022"/>
    <m/>
    <n v="202202132"/>
    <n v="265000000"/>
    <s v="N/A"/>
    <s v="N/A"/>
    <m/>
    <x v="2"/>
    <s v="PABLO CAICEDO"/>
    <d v="2022-01-21T00:00:00"/>
    <m/>
    <m/>
    <m/>
    <s v="Entregado al area"/>
    <x v="1"/>
    <s v="26 de enero en recepcion de ofertas_x000a_28 DE ENERO EN ELABORACION DE LA EVALUACION_x000a_solicitud de numeracion"/>
    <m/>
    <d v="2022-02-08T00:00:00"/>
    <x v="2"/>
    <m/>
    <n v="18"/>
    <n v="18"/>
    <x v="2"/>
    <s v="FUNCIONAMIENTO"/>
    <x v="83"/>
    <d v="2022-01-28T00:00:00"/>
    <n v="264903916"/>
    <s v="SUNTIC SAS"/>
    <m/>
    <n v="1"/>
    <m/>
    <m/>
    <s v="N/A"/>
    <s v="N/A"/>
    <m/>
    <s v="CALI"/>
    <s v="LOCAL"/>
    <m/>
    <n v="3.7749536183717509E-9"/>
    <x v="1"/>
    <n v="1"/>
    <n v="12"/>
  </r>
  <r>
    <n v="96"/>
    <s v="0096"/>
    <x v="6"/>
    <d v="2022-01-21T00:00:00"/>
    <x v="1"/>
    <s v="PENDIENTE"/>
    <s v="FR-200-GTI-0014-2022"/>
    <s v="N/A"/>
    <s v="Licenciamiento por suscripción del software tpo cloud para &quot;Gateway de integración loT para la infraestructura de dispositivos remotos&quot; y apoyo en las configuraciones e implementación de los dispositivos sobre la herramienta."/>
    <n v="499990420"/>
    <s v="10 meses"/>
    <s v="900-IP-0147-2022"/>
    <m/>
    <n v="202202154"/>
    <n v="542420000"/>
    <s v="N/A"/>
    <s v="N/A"/>
    <m/>
    <x v="2"/>
    <s v="PABLO CAICEDO"/>
    <d v="2022-01-21T00:00:00"/>
    <m/>
    <m/>
    <m/>
    <s v="Entregado al area"/>
    <x v="1"/>
    <s v="26 de enero para la revision de la fpa e invitacion_x000a_28 DE ENERO EN EVALUACION"/>
    <m/>
    <d v="2022-02-08T00:00:00"/>
    <x v="2"/>
    <m/>
    <n v="18"/>
    <n v="18"/>
    <x v="2"/>
    <s v="FUNCIONAMIENTO"/>
    <x v="84"/>
    <d v="2022-01-28T00:00:00"/>
    <n v="482264000"/>
    <s v="OPTIMAL TECHNOLOGY SAS"/>
    <m/>
    <n v="17726420"/>
    <m/>
    <m/>
    <s v="N/A"/>
    <s v="N/A"/>
    <m/>
    <s v="CALI"/>
    <s v="LOCAL"/>
    <m/>
    <n v="3.5453519289429587E-2"/>
    <x v="1"/>
    <n v="1"/>
    <n v="12"/>
  </r>
  <r>
    <n v="97"/>
    <s v="0097"/>
    <x v="6"/>
    <d v="2022-01-21T00:00:00"/>
    <x v="1"/>
    <s v="GTI0010"/>
    <s v="FR-200-GTI-0019-2022"/>
    <s v="N/A"/>
    <s v="Alquilar bajo la figura de infraestructura como servicio (laaS por sus siglas en ingles: Infrastructure as a Service) una red loT que le permita a la Gerencia de Tecnologías de la información GTI, proveer la conectividad inalámbrica necesaria para que las Unidades de Negocio de EMCALI puedan desplegar masivamente los casos de uso actualmente funcionando bajo la modalidad de proyectos piloto y de esta forma, desarrollar capacidades que le permitan incursionar exitosamente en el mercado de Ciudades Inteligentes al tiempo que se garantice la conectividad de red RMS/loT para el funcionamiento del sistema de control de acceso SICA que está instalado masivamente en los gabinetes de calle de UENTIC a través de los cuales se prestan los servicios de internet, telefonía, iptv y enlaces de datos a los clientes corporativos o domiciliarios."/>
    <n v="941000000"/>
    <s v="31 de diciembre 2022"/>
    <s v="900-IP-0133-2022"/>
    <m/>
    <n v="202202121"/>
    <m/>
    <s v="N/A"/>
    <s v="N/A"/>
    <m/>
    <x v="2"/>
    <s v="PABLO CAICEDO"/>
    <d v="2022-01-21T00:00:00"/>
    <m/>
    <m/>
    <m/>
    <s v="Entregado al area"/>
    <x v="1"/>
    <s v="26 de enero para firma de la aceptacion de la oferta_x000a_28 DE ENERO EN RP Y POLIZAS"/>
    <m/>
    <d v="2022-02-07T00:00:00"/>
    <x v="2"/>
    <m/>
    <n v="17"/>
    <n v="17"/>
    <x v="1"/>
    <s v="FUNCIONAMIENTO"/>
    <x v="85"/>
    <d v="2022-01-27T00:00:00"/>
    <n v="940997260"/>
    <s v="COLBITS SAS"/>
    <m/>
    <n v="2740"/>
    <m/>
    <m/>
    <s v="N/A"/>
    <s v="N/A"/>
    <m/>
    <s v="CALI"/>
    <s v="LOCAL"/>
    <m/>
    <n v="2.9117959617428266E-6"/>
    <x v="1"/>
    <n v="1"/>
    <n v="11"/>
  </r>
  <r>
    <n v="98"/>
    <s v="0098"/>
    <x v="6"/>
    <d v="2022-01-21T00:00:00"/>
    <x v="1"/>
    <s v="GTI0026_x000a_GTI0047"/>
    <s v="FR-200-GTI-0072-2022"/>
    <s v="N/A"/>
    <s v="Servicio en la Nube (SAAS) de los aplicativos ARIBA Y SUCCES FACTOR."/>
    <n v="808425155"/>
    <s v="60 dias"/>
    <s v="900-IP-0148-2022"/>
    <m/>
    <s v="202201948_x000a_202201950"/>
    <n v="808425155"/>
    <s v="N/A"/>
    <s v="N/A"/>
    <m/>
    <x v="2"/>
    <s v="PABLO CAICEDO"/>
    <d v="2022-01-21T00:00:00"/>
    <m/>
    <m/>
    <m/>
    <s v="Entregado al area"/>
    <x v="1"/>
    <s v="26 DE ENERO EN COTIZACIONES_x000a_28 DE ENERO EN RECEPCION DE OFERTAS"/>
    <m/>
    <d v="2022-02-10T00:00:00"/>
    <x v="2"/>
    <m/>
    <n v="20"/>
    <n v="20"/>
    <x v="1"/>
    <s v="FUNCIONAMIENTO"/>
    <x v="86"/>
    <d v="2022-01-28T00:00:00"/>
    <n v="808425138"/>
    <s v="SAP COLOMBIA SAS"/>
    <m/>
    <n v="17"/>
    <m/>
    <m/>
    <s v="N/A"/>
    <s v="N/A"/>
    <m/>
    <s v="BOGOTA"/>
    <s v="NACIONAL"/>
    <m/>
    <n v="2.1028539123080602E-8"/>
    <x v="1"/>
    <n v="1"/>
    <n v="14"/>
  </r>
  <r>
    <n v="99"/>
    <s v="0099"/>
    <x v="6"/>
    <d v="2022-01-21T00:00:00"/>
    <x v="1"/>
    <s v="GTI0042"/>
    <s v="FR-200-GTI-0006-2022"/>
    <s v="N/A"/>
    <s v="Servicio en Nube de 161 escritorios remotos mensualizado para equipos de cómputo con arquitectura de 32 y 64 bit, que fortalezcan el desarrollo de las actividades de PQRS, CALL CENTER e implementación del proyecto SAP, solicitada por la Gerencia de Comerciales y GTI"/>
    <n v="349698036"/>
    <s v="31 de julio 2022"/>
    <s v="900-IP-0073-2022"/>
    <m/>
    <n v="202202128"/>
    <n v="349698036"/>
    <s v="N/A"/>
    <s v="N/A"/>
    <m/>
    <x v="2"/>
    <s v="PABLO CAICEDO"/>
    <d v="2022-01-21T00:00:00"/>
    <m/>
    <m/>
    <m/>
    <s v="Entregado al area"/>
    <x v="1"/>
    <s v="26 de enero en recepcion de ofertas"/>
    <m/>
    <d v="2022-02-08T00:00:00"/>
    <x v="2"/>
    <m/>
    <n v="18"/>
    <n v="18"/>
    <x v="1"/>
    <s v="FUNCIONAMIENTO"/>
    <x v="87"/>
    <d v="2022-01-28T00:00:00"/>
    <n v="348700000"/>
    <s v="ANDINA LIFE SAS"/>
    <m/>
    <n v="998036"/>
    <m/>
    <m/>
    <s v="N/A"/>
    <s v="N/A"/>
    <m/>
    <s v="BOGOTA"/>
    <s v="NACIONAL"/>
    <m/>
    <n v="2.8539937238881148E-3"/>
    <x v="1"/>
    <n v="1"/>
    <n v="12"/>
  </r>
  <r>
    <n v="100"/>
    <s v="0100"/>
    <x v="6"/>
    <d v="2022-01-24T00:00:00"/>
    <x v="1"/>
    <s v="GTI0028"/>
    <s v="FR-200-GTI-0086-2022"/>
    <s v="N/A"/>
    <s v="Soporte técnico, mantenimiento preventivo y correctivo, gestión de incidentes, requerimientos y problemas en modalidad 7x24x365, de dispositivos de redes LAN/WAN/WLAN, soporte a usuarios finales de telefonía IP y de red alambrada e inalámbrica corporativa, sistemas de cableado de datos y aparatos telefónicos IP relacionados en la TABLA DE DISPOSITIVOS DE COMUNICACIONES DE LA RED CORPORATIVA descritos en los anexos técnicos enviados por la Gerencia de Área de Tecnología de la Información, dentro los acuerdos de nivel de servicio y condiciones establecidas en el alcance"/>
    <n v="450000000"/>
    <s v="31 de diciembre 2022"/>
    <s v="900-IP-0149-2022"/>
    <m/>
    <n v="202202130"/>
    <n v="450000000"/>
    <s v="N/A"/>
    <s v="N/A"/>
    <m/>
    <x v="2"/>
    <s v="PABLO CAICEDO"/>
    <d v="2022-01-24T00:00:00"/>
    <m/>
    <m/>
    <m/>
    <s v="Entregado al area"/>
    <x v="1"/>
    <s v="26 DE ENERO EN ELABORACION DE LA FPA E INVITACION_x000a_28 DE ENERO EN ELBOTACION DE LA EVALUACION"/>
    <m/>
    <d v="2022-02-08T00:00:00"/>
    <x v="2"/>
    <m/>
    <n v="15"/>
    <n v="15"/>
    <x v="2"/>
    <s v="FUNCIONAMIENTO"/>
    <x v="88"/>
    <d v="2022-01-28T00:00:00"/>
    <n v="447814074"/>
    <s v="GRUPOSIT SAS"/>
    <m/>
    <n v="2185926"/>
    <m/>
    <m/>
    <s v="N/A"/>
    <s v="N/A"/>
    <m/>
    <s v="CALI"/>
    <s v="LOCAL"/>
    <m/>
    <n v="4.8576133333333334E-3"/>
    <x v="1"/>
    <n v="1"/>
    <n v="11"/>
  </r>
  <r>
    <n v="101"/>
    <s v="0101"/>
    <x v="5"/>
    <d v="2022-01-25T00:00:00"/>
    <x v="1"/>
    <s v="GHA0217"/>
    <s v="FR-800-GAGHA-0123-2022"/>
    <s v="N/A"/>
    <s v="Realizar las actividades para llevar a cabo la construcción de cancha sintética y reposición de cerramiento en el Club SOCIAL Y Deportivo de Trabajadores y Pensionados de EMCALI EICE ESP."/>
    <n v="335395787"/>
    <s v="29 de abril 2022"/>
    <s v="900-IP-0137-2022"/>
    <m/>
    <n v="202201946"/>
    <n v="345000000"/>
    <s v="N/A"/>
    <s v="N/A"/>
    <m/>
    <x v="2"/>
    <s v="ANA MARIA GIL"/>
    <d v="2022-01-25T00:00:00"/>
    <m/>
    <m/>
    <m/>
    <s v="Entregado al area"/>
    <x v="1"/>
    <s v="26 de enero en recepcion de ofertas_x000a_278 de enero en evaluacion"/>
    <m/>
    <d v="2022-02-14T00:00:00"/>
    <x v="2"/>
    <m/>
    <n v="20"/>
    <n v="20"/>
    <x v="2"/>
    <s v="INVERSION"/>
    <x v="89"/>
    <d v="2022-01-28T00:00:00"/>
    <n v="330227598"/>
    <s v="4L INGENIERIA SAS"/>
    <m/>
    <n v="5168189"/>
    <m/>
    <m/>
    <s v="N/A"/>
    <s v="N/A"/>
    <m/>
    <s v="MONTERIA"/>
    <s v="NACIONAL"/>
    <m/>
    <n v="1.5409224564886977E-2"/>
    <x v="1"/>
    <n v="1"/>
    <n v="14"/>
  </r>
  <r>
    <n v="102"/>
    <s v="0102"/>
    <x v="1"/>
    <d v="2022-01-25T00:00:00"/>
    <x v="1"/>
    <s v="GE0310"/>
    <s v="FR-500-GE-0159-2022"/>
    <s v="N/A"/>
    <s v="Alquiler de una (1) Unidad Sanitaria Portatil (USP) con lavamanos en la Subestación Alferez"/>
    <n v="9282000"/>
    <s v="31 de diciembre 2022"/>
    <s v="900-IP-0138-2022"/>
    <m/>
    <n v="202202211"/>
    <n v="9282000"/>
    <s v="N/A"/>
    <s v="N/A"/>
    <m/>
    <x v="2"/>
    <s v="PAOLA BELTRAN"/>
    <d v="2022-01-25T00:00:00"/>
    <m/>
    <m/>
    <m/>
    <s v="Entregado al area"/>
    <x v="1"/>
    <s v="26 DE ENERO EN COTIZACIONES_x000a_28 DE ENERO EN INVITACION A OFERTAR_x000a_28 de enero en revision de la evaluacion"/>
    <m/>
    <d v="2022-02-11T00:00:00"/>
    <x v="2"/>
    <m/>
    <n v="17"/>
    <n v="17"/>
    <x v="2"/>
    <s v="FUNCIONAMIENTO"/>
    <x v="90"/>
    <d v="2022-01-28T00:00:00"/>
    <n v="9281988"/>
    <s v="VC SAFETY COLOMBIA SAS"/>
    <m/>
    <n v="12"/>
    <m/>
    <m/>
    <s v="N/A"/>
    <s v="N/A"/>
    <m/>
    <s v="CALI"/>
    <s v="LOCAL"/>
    <m/>
    <n v="1.2928248222365869E-6"/>
    <x v="0"/>
    <n v="1"/>
    <n v="13"/>
  </r>
  <r>
    <n v="103"/>
    <s v="0103"/>
    <x v="2"/>
    <d v="2022-01-25T00:00:00"/>
    <x v="1"/>
    <s v="GAA0256"/>
    <s v="FR-300-GAA-0033-2022"/>
    <s v="N/A"/>
    <s v="Mantenimiento a sistema variador de velocidad PTAP Puerto Mallarino"/>
    <n v="120000000"/>
    <s v="2 meses"/>
    <s v="900-IP-0141-2022"/>
    <m/>
    <n v="202200889"/>
    <n v="120000000"/>
    <s v="N/A"/>
    <s v="N/A"/>
    <m/>
    <x v="2"/>
    <s v="VIAGNERY LOPEZ"/>
    <d v="2022-01-25T00:00:00"/>
    <m/>
    <m/>
    <m/>
    <s v="Entregado al area"/>
    <x v="1"/>
    <s v="26 de enero en recepcion de ofertas_x000a_27 de enero en solicitud de polizas y rp"/>
    <m/>
    <d v="2022-02-24T00:00:00"/>
    <x v="2"/>
    <m/>
    <n v="30"/>
    <n v="30"/>
    <x v="1"/>
    <s v="FUNCIONAMIENTO"/>
    <x v="91"/>
    <d v="2022-01-27T00:00:00"/>
    <n v="120000000"/>
    <s v="ABB COLOMBIA LTDA"/>
    <m/>
    <n v="0"/>
    <m/>
    <m/>
    <s v="N/A"/>
    <s v="N/A"/>
    <m/>
    <s v="BOGOTA"/>
    <s v="NACIONAL"/>
    <m/>
    <n v="0"/>
    <x v="0"/>
    <n v="1"/>
    <n v="22"/>
  </r>
  <r>
    <n v="104"/>
    <s v="0104"/>
    <x v="1"/>
    <d v="2022-01-26T00:00:00"/>
    <x v="1"/>
    <s v="GE0301"/>
    <s v="FR-500-GE-0112-2022"/>
    <s v="N/A"/>
    <s v="Mantenimiento a equipo de titulación automática y coulómetro, marca Metrohm, del laboratorio de ensayos a aceites dieléctricos de EMCALI EICE ESP."/>
    <n v="7937249"/>
    <s v="74 dias"/>
    <s v="900-IP-0143-2022"/>
    <m/>
    <n v="202202157"/>
    <n v="7937249"/>
    <s v="N/A"/>
    <s v="N/A"/>
    <m/>
    <x v="2"/>
    <s v="JHON LARRY "/>
    <d v="2022-01-26T00:00:00"/>
    <m/>
    <m/>
    <m/>
    <s v="Entregado al area"/>
    <x v="1"/>
    <s v="26 DE ENERO EN COTIZACIONES_x000a_28 de enero en recepion de ofertas_x000a_REVISION EVALUACION"/>
    <m/>
    <d v="2022-02-14T00:00:00"/>
    <x v="2"/>
    <m/>
    <n v="19"/>
    <n v="19"/>
    <x v="2"/>
    <s v="FUNCIONAMIENTO"/>
    <x v="92"/>
    <d v="2022-01-28T00:00:00"/>
    <n v="7937249"/>
    <s v="SERCO SRVICIO Y SUMINISTRO QUIMICO LTDA"/>
    <m/>
    <n v="0"/>
    <m/>
    <m/>
    <s v="N/A"/>
    <s v="N/A"/>
    <m/>
    <s v="BOGOTA"/>
    <s v="NACIONAL"/>
    <m/>
    <n v="0"/>
    <x v="0"/>
    <n v="1"/>
    <n v="13"/>
  </r>
  <r>
    <n v="105"/>
    <s v="0105"/>
    <x v="1"/>
    <d v="2022-01-26T00:00:00"/>
    <x v="1"/>
    <s v="GE0306"/>
    <s v="FR-500-GE-0120-2022"/>
    <s v="N/A"/>
    <s v="Ejecutar inspección, mantenimiento y reparación de transformadores de distribución EMCALI EICE ESP, monofásicos y trifásicos, de niveles de tensión 13.2 Kv."/>
    <n v="199600218"/>
    <d v="2022-12-31T00:00:00"/>
    <s v="900-IP-0142-2022"/>
    <m/>
    <n v="202202153"/>
    <n v="200000000"/>
    <s v="N/A"/>
    <s v="N/A"/>
    <m/>
    <x v="2"/>
    <s v="JUAN PABLO QUIMBAYO"/>
    <d v="2022-01-26T00:00:00"/>
    <m/>
    <m/>
    <m/>
    <s v="Entregado al area"/>
    <x v="1"/>
    <s v="26 de enero en cotizaciones_x000a_27 de enero en recepcion de ofertas"/>
    <m/>
    <d v="2022-02-04T00:00:00"/>
    <x v="2"/>
    <m/>
    <n v="9"/>
    <n v="9"/>
    <x v="2"/>
    <s v="FUNCIONAMIENTO"/>
    <x v="93"/>
    <d v="2022-01-28T00:00:00"/>
    <n v="198881517"/>
    <s v="TMI DE COLOMBIALTDA"/>
    <m/>
    <n v="718701"/>
    <m/>
    <m/>
    <s v="N/A"/>
    <s v="N/A"/>
    <m/>
    <s v="PALMIRA "/>
    <s v="REGIONAL"/>
    <m/>
    <n v="3.600702480194686E-3"/>
    <x v="0"/>
    <n v="1"/>
    <n v="7"/>
  </r>
  <r>
    <n v="106"/>
    <s v="0106"/>
    <x v="2"/>
    <d v="2022-01-26T00:00:00"/>
    <x v="1"/>
    <s v="GE0231"/>
    <s v="FR-500-GE-0150-2022"/>
    <s v="N/A"/>
    <s v="Suministro de monitor administrador de temperatura de transformadores salida scada."/>
    <n v="71400000"/>
    <m/>
    <s v="900-IP-0144-2022"/>
    <s v="IP-"/>
    <n v="202202179"/>
    <m/>
    <s v="N/A"/>
    <s v="N/A"/>
    <s v="N/A"/>
    <x v="2"/>
    <s v="SILVIA GALINDO"/>
    <d v="2022-01-26T00:00:00"/>
    <e v="#VALUE!"/>
    <e v="#VALUE!"/>
    <s v="NO"/>
    <s v="Devuelto"/>
    <x v="2"/>
    <m/>
    <s v="26 de enero en cotizaciones_x000a_28 DE ENERO EN REVISION DE LA FPA E INVITACION"/>
    <d v="2022-01-28T00:00:00"/>
    <x v="5"/>
    <s v="ene"/>
    <n v="2"/>
    <n v="2"/>
    <x v="2"/>
    <s v="FUNCIONAMIENTO"/>
    <x v="0"/>
    <m/>
    <m/>
    <m/>
    <m/>
    <n v="71400000"/>
    <m/>
    <m/>
    <m/>
    <m/>
    <m/>
    <m/>
    <m/>
    <m/>
    <m/>
    <x v="0"/>
    <m/>
    <m/>
  </r>
  <r>
    <n v="107"/>
    <s v="0107"/>
    <x v="2"/>
    <d v="2022-01-26T00:00:00"/>
    <x v="1"/>
    <s v="GAA0265"/>
    <s v="FR-300-GAA-0031-2022"/>
    <s v="N/A"/>
    <s v="Lavado de los reservorios PTAP de Puerto Mallarino"/>
    <n v="164087782"/>
    <s v="7 meses"/>
    <s v="900-IP-0140-2022"/>
    <m/>
    <n v="202200894"/>
    <n v="164087782"/>
    <s v="N/A"/>
    <s v="N/A"/>
    <m/>
    <x v="2"/>
    <s v="VIAGNERY LOPEZ"/>
    <d v="2022-01-26T00:00:00"/>
    <m/>
    <m/>
    <m/>
    <s v="Entregado al area"/>
    <x v="1"/>
    <s v="24 de enero en recepcion de ofertas_x000a_27 de enero en solicitud de polizas y rp"/>
    <m/>
    <d v="2022-02-03T00:00:00"/>
    <x v="2"/>
    <m/>
    <n v="8"/>
    <n v="8"/>
    <x v="2"/>
    <s v="FUNCIONAMIENTO"/>
    <x v="94"/>
    <d v="2022-01-28T00:00:00"/>
    <n v="162077952"/>
    <s v="ALQUILER Y CONSTRUCCIONES CARABALI SAS"/>
    <m/>
    <n v="2009830"/>
    <m/>
    <m/>
    <s v="N/A"/>
    <s v="N/A"/>
    <m/>
    <s v="CALI"/>
    <s v="LOCAL"/>
    <m/>
    <n v="1.2248504888682083E-2"/>
    <x v="0"/>
    <n v="1"/>
    <n v="6"/>
  </r>
  <r>
    <n v="108"/>
    <s v="0108"/>
    <x v="6"/>
    <d v="2022-01-26T00:00:00"/>
    <x v="1"/>
    <s v="GTI0006"/>
    <s v="FR-200-GTI-0012-2022"/>
    <s v="N/A"/>
    <s v="Contratar los servicios para el mantenimiento correctivo de almacenamiento V7000, servicios de mantenimiento correctivo del almacenamiento DS4800, servicio de almacenamiento temporal para la DATA de EMCALI en arreglo de Raid y alquiler de Servidor Power 720 para contingencia del servidor EMCALIPDN "/>
    <n v="357780000"/>
    <s v="90 dias"/>
    <s v="900-IP-0145-2022"/>
    <m/>
    <n v="202202135"/>
    <n v="357780000"/>
    <s v="N/A"/>
    <s v="N/A"/>
    <m/>
    <x v="2"/>
    <s v="JULIO ERAZO"/>
    <d v="2022-01-26T00:00:00"/>
    <m/>
    <m/>
    <m/>
    <s v="Entregado al area"/>
    <x v="1"/>
    <s v="28 DE ENERO EN ELABORACION DE LA EVALUACION_x000a_en solicitud de RP "/>
    <m/>
    <d v="2022-02-15T00:00:00"/>
    <x v="2"/>
    <m/>
    <n v="20"/>
    <n v="20"/>
    <x v="2"/>
    <s v="FUNCIONAMIENTO"/>
    <x v="95"/>
    <d v="2022-01-28T00:00:00"/>
    <n v="357779912"/>
    <s v="INTEGRATIC SAS"/>
    <m/>
    <n v="88"/>
    <m/>
    <m/>
    <s v="N/A"/>
    <s v="N/A"/>
    <m/>
    <s v="CALI"/>
    <s v="LOCAL"/>
    <m/>
    <n v="2.4596120520990555E-7"/>
    <x v="1"/>
    <n v="1"/>
    <n v="14"/>
  </r>
  <r>
    <n v="109"/>
    <s v="0109"/>
    <x v="6"/>
    <d v="2022-01-26T00:00:00"/>
    <x v="1"/>
    <s v="GTI0066"/>
    <s v="FR-200-GTI-0017-2022"/>
    <s v="N/A"/>
    <s v="Prestar los servicios de mantenimiento preventivo en formato 5 x 8 y correctivo sin repuestos en formato 7 x 24, equipo de aire acondicionado portátil (1) incluido para soporte del Centro de Computo del GTI"/>
    <n v="185000000"/>
    <s v="31 de diciembre 2022"/>
    <s v="900-IP-0150-2022"/>
    <m/>
    <n v="202202136"/>
    <n v="185000000"/>
    <s v="N/A"/>
    <s v="N/A"/>
    <m/>
    <x v="2"/>
    <s v="JULIO ERAZO"/>
    <d v="2022-01-26T00:00:00"/>
    <m/>
    <m/>
    <m/>
    <s v="Entregado al area"/>
    <x v="1"/>
    <s v="28 DE ENERO EN ELABORACION DE LA EVALUACION_x000a_esperando numeracion de la aceptacion"/>
    <m/>
    <d v="2022-02-08T00:00:00"/>
    <x v="2"/>
    <m/>
    <n v="13"/>
    <n v="13"/>
    <x v="2"/>
    <s v="FUNCIONAMIENTO"/>
    <x v="96"/>
    <d v="2022-01-28T00:00:00"/>
    <n v="185000000"/>
    <s v="BEST ENERGY SAS"/>
    <m/>
    <n v="0"/>
    <m/>
    <m/>
    <s v="N/A"/>
    <s v="N/A"/>
    <m/>
    <s v="CALI"/>
    <s v="LOCAL"/>
    <m/>
    <n v="0"/>
    <x v="1"/>
    <n v="1"/>
    <n v="9"/>
  </r>
  <r>
    <n v="110"/>
    <s v="0110"/>
    <x v="2"/>
    <d v="2022-01-26T00:00:00"/>
    <x v="1"/>
    <s v="GAA0108"/>
    <s v="FR-300-GAA-0034-2022"/>
    <s v="N/A"/>
    <s v="Levantamientos planimetricos y altimetricos topograficos año 2022, para proyectos priorizados GUENAA de acueducto y alcantarillado"/>
    <n v="119987700"/>
    <m/>
    <s v="900-IP-0153-2022"/>
    <s v="IP-"/>
    <n v="202201992"/>
    <m/>
    <s v="N/A"/>
    <s v="N/A"/>
    <s v="N/A"/>
    <x v="2"/>
    <s v="JHON LARRY "/>
    <d v="2022-01-26T00:00:00"/>
    <e v="#VALUE!"/>
    <e v="#VALUE!"/>
    <s v="NO"/>
    <s v="Devuelto"/>
    <x v="2"/>
    <m/>
    <s v="28 de enero en cotizaciones "/>
    <d v="2022-02-17T00:00:00"/>
    <x v="5"/>
    <s v="feb"/>
    <n v="22"/>
    <n v="22"/>
    <x v="2"/>
    <s v="FUNCIONAMIENTO"/>
    <x v="0"/>
    <m/>
    <m/>
    <m/>
    <m/>
    <n v="119987700"/>
    <m/>
    <m/>
    <m/>
    <m/>
    <m/>
    <m/>
    <m/>
    <m/>
    <m/>
    <x v="0"/>
    <m/>
    <m/>
  </r>
  <r>
    <n v="111"/>
    <s v="0111"/>
    <x v="2"/>
    <d v="2022-01-26T00:00:00"/>
    <x v="1"/>
    <s v="GAA0108"/>
    <s v="FR-300-GAA-0035-2022"/>
    <s v="N/A"/>
    <s v="Adelantar acompañamiento en Geotecnia incluyendo asesorias, trabajos de campo, ensayos de laboratorio e informes tecnicos requeridos para el desarrollo de evaluaciones geotecnicas 2022"/>
    <n v="99995700"/>
    <m/>
    <s v="900-IP-0154-2022"/>
    <s v="IP-"/>
    <n v="202201991"/>
    <m/>
    <s v="N/A"/>
    <s v="N/A"/>
    <s v="N/A"/>
    <x v="2"/>
    <s v="JHON LARRY "/>
    <d v="2022-01-26T00:00:00"/>
    <e v="#VALUE!"/>
    <e v="#VALUE!"/>
    <s v="NO"/>
    <s v="Devuelto"/>
    <x v="2"/>
    <m/>
    <s v="28 de enero en cotizaciones "/>
    <d v="2022-01-28T00:00:00"/>
    <x v="5"/>
    <s v="ene"/>
    <n v="2"/>
    <n v="2"/>
    <x v="2"/>
    <s v="FUNCIONAMIENTO"/>
    <x v="0"/>
    <m/>
    <m/>
    <m/>
    <m/>
    <n v="99995700"/>
    <m/>
    <m/>
    <m/>
    <m/>
    <m/>
    <m/>
    <m/>
    <m/>
    <m/>
    <x v="0"/>
    <m/>
    <m/>
  </r>
  <r>
    <n v="112"/>
    <s v="0112"/>
    <x v="6"/>
    <d v="2022-01-26T00:00:00"/>
    <x v="1"/>
    <s v="GTI0037"/>
    <s v="FR-200-GTI-0015-2022"/>
    <s v="N/A"/>
    <s v="Servicios profesionales especializados en tecnologías de la información y las comunicaciones, para ejecutar actividades de soporte y mantenimiento para aplicativo Liferay portal de internet"/>
    <n v="230000000"/>
    <s v="30  de julio 2022"/>
    <s v="900-IP-0075-2022"/>
    <s v="IP-"/>
    <n v="202202125"/>
    <n v="230000000"/>
    <s v="N/A"/>
    <s v="N/A"/>
    <s v="N/A"/>
    <x v="2"/>
    <s v="PABLO CAICEDO"/>
    <d v="2022-01-26T00:00:00"/>
    <e v="#VALUE!"/>
    <e v="#VALUE!"/>
    <s v="NO"/>
    <s v="Devuelto"/>
    <x v="2"/>
    <m/>
    <m/>
    <d v="2022-01-26T00:00:00"/>
    <x v="5"/>
    <s v="ene"/>
    <n v="0"/>
    <n v="0"/>
    <x v="2"/>
    <s v="FUNCIONAMIENTO"/>
    <x v="0"/>
    <m/>
    <m/>
    <m/>
    <m/>
    <n v="230000000"/>
    <m/>
    <m/>
    <m/>
    <m/>
    <m/>
    <m/>
    <m/>
    <m/>
    <m/>
    <x v="1"/>
    <m/>
    <m/>
  </r>
  <r>
    <n v="113"/>
    <s v="0113"/>
    <x v="2"/>
    <d v="2022-01-27T00:00:00"/>
    <x v="1"/>
    <s v="GAA0298"/>
    <s v="FR-300-GAA-0036-2022"/>
    <s v="N/A"/>
    <s v="Reparación de daños en red matriz mayores o iguales a 12&quot;"/>
    <n v="499993357"/>
    <s v="4 Meses"/>
    <s v="900-IP-0151-2022"/>
    <m/>
    <n v="202202301"/>
    <n v="500000000"/>
    <s v="N/A"/>
    <s v="N/A"/>
    <m/>
    <x v="2"/>
    <s v="VIAGNERY LOPEZ"/>
    <d v="2022-01-27T00:00:00"/>
    <m/>
    <m/>
    <m/>
    <s v="Entregado al area"/>
    <x v="1"/>
    <m/>
    <m/>
    <d v="2022-02-15T00:00:00"/>
    <x v="2"/>
    <m/>
    <n v="19"/>
    <n v="19"/>
    <x v="2"/>
    <s v="FUNCIONAMIENTO"/>
    <x v="97"/>
    <d v="2022-01-27T00:00:00"/>
    <n v="497493391"/>
    <s v="CMO CONTRATISTAS MANO DE OBRA SAS"/>
    <m/>
    <n v="2499966"/>
    <m/>
    <m/>
    <s v="N/A"/>
    <s v="N/A"/>
    <m/>
    <s v="CALI"/>
    <s v="LOCAL"/>
    <m/>
    <n v="4.9999984299791411E-3"/>
    <x v="0"/>
    <n v="1"/>
    <n v="13"/>
  </r>
  <r>
    <n v="114"/>
    <s v="0114"/>
    <x v="6"/>
    <d v="2022-01-27T00:00:00"/>
    <x v="1"/>
    <s v="GTI0048"/>
    <s v="FR-200-GTI-0001-2022"/>
    <s v="N/A"/>
    <s v="Realizar procesos de mejoramiento y desarrollo de Software, que permita contar con trámites de cara al ciudadano más automatizados desde el portal web de EMCALI"/>
    <n v="390000000"/>
    <s v="30 de julio 2022"/>
    <s v="900-IP-0155-2022"/>
    <m/>
    <n v="202202334"/>
    <n v="395000000"/>
    <s v="N/A"/>
    <s v="N/A"/>
    <m/>
    <x v="2"/>
    <s v="PABLO CAICEDO"/>
    <d v="2022-01-27T00:00:00"/>
    <m/>
    <m/>
    <m/>
    <s v="Entregado al area"/>
    <x v="1"/>
    <s v="28 DE ENERO EN ELABOACION DE LA EVALUACION"/>
    <m/>
    <d v="2022-02-08T00:00:00"/>
    <x v="2"/>
    <m/>
    <n v="12"/>
    <n v="12"/>
    <x v="2"/>
    <s v="FUNCIONAMIENTO"/>
    <x v="98"/>
    <d v="2022-01-28T00:00:00"/>
    <n v="385400000"/>
    <s v="OPTIMAL TECHNOLOGY SAS"/>
    <m/>
    <n v="4600000"/>
    <m/>
    <m/>
    <s v="N/A"/>
    <s v="N/A"/>
    <m/>
    <s v="CALI"/>
    <s v="LOCAL"/>
    <m/>
    <n v="1.1794871794871795E-2"/>
    <x v="1"/>
    <n v="1"/>
    <n v="8"/>
  </r>
  <r>
    <n v="115"/>
    <s v="0115"/>
    <x v="5"/>
    <d v="2022-01-27T00:00:00"/>
    <x v="1"/>
    <s v="GHA1600"/>
    <s v="FR-800-GAGHA-0095-2022"/>
    <s v="N/A"/>
    <s v="Compra de jabón líquido espumoso para manos"/>
    <n v="199992024"/>
    <s v="30 de julio 2022"/>
    <m/>
    <s v=""/>
    <n v="202201122"/>
    <n v="200571511"/>
    <s v="N/A"/>
    <s v="N/A"/>
    <s v="N/A"/>
    <x v="3"/>
    <s v="ANA MARIA GIL"/>
    <d v="2022-01-27T00:00:00"/>
    <e v="#VALUE!"/>
    <e v="#VALUE!"/>
    <s v="NO"/>
    <s v="Devuelto"/>
    <x v="2"/>
    <m/>
    <s v="28 de enero en elabroacion de fpa e invitacion_x000a_31 DE ENERO DEVUELTO AL AREA POR CUMPLIMIENTO DE PLAZO LEY DE GARANTIAS"/>
    <d v="2022-01-31T00:00:00"/>
    <x v="5"/>
    <s v="ene"/>
    <n v="4"/>
    <n v="4"/>
    <x v="2"/>
    <s v="FUNCIONAMIENTO"/>
    <x v="0"/>
    <m/>
    <m/>
    <m/>
    <m/>
    <n v="199992024"/>
    <m/>
    <m/>
    <m/>
    <m/>
    <m/>
    <m/>
    <m/>
    <m/>
    <m/>
    <x v="1"/>
    <m/>
    <m/>
  </r>
  <r>
    <n v="116"/>
    <s v="0116"/>
    <x v="5"/>
    <d v="2022-01-27T00:00:00"/>
    <x v="1"/>
    <s v="GHA0006"/>
    <s v="FR-800-GAGHA-0121-2022"/>
    <s v="N/A"/>
    <s v="Realizar piezas publicitarias para la campaña de comunicación del proyecto de implementación del sistema integral de gestión de activos SIGA."/>
    <n v="69888700"/>
    <m/>
    <m/>
    <s v=""/>
    <n v="202201939"/>
    <m/>
    <s v="N/A"/>
    <s v="N/A"/>
    <s v="N/A"/>
    <x v="3"/>
    <s v="MARIO AREVALO"/>
    <d v="2022-01-27T00:00:00"/>
    <e v="#VALUE!"/>
    <e v="#VALUE!"/>
    <s v="NO"/>
    <s v="Devuelto"/>
    <x v="2"/>
    <m/>
    <s v="28 de enero en cotizaciones "/>
    <d v="2022-01-28T00:00:00"/>
    <x v="5"/>
    <s v="ene"/>
    <n v="1"/>
    <n v="1"/>
    <x v="2"/>
    <s v="FUNCIONAMIENTO"/>
    <x v="0"/>
    <m/>
    <m/>
    <m/>
    <m/>
    <n v="69888700"/>
    <m/>
    <m/>
    <m/>
    <m/>
    <m/>
    <m/>
    <m/>
    <m/>
    <m/>
    <x v="1"/>
    <m/>
    <m/>
  </r>
  <r>
    <n v="117"/>
    <s v="0117"/>
    <x v="1"/>
    <d v="2022-01-27T00:00:00"/>
    <x v="1"/>
    <s v="GE0230"/>
    <s v="FR-500-GE-0161-2022"/>
    <s v="N/A"/>
    <s v="Suministro de protecciones"/>
    <n v="157827595"/>
    <s v="60 dias "/>
    <m/>
    <s v=""/>
    <n v="202202372"/>
    <n v="157827595"/>
    <s v="N/A"/>
    <s v="N/A"/>
    <s v="N/A"/>
    <x v="4"/>
    <s v="JUAN PABLO QUIMBAYO"/>
    <d v="2022-01-27T00:00:00"/>
    <e v="#VALUE!"/>
    <e v="#VALUE!"/>
    <s v="NO"/>
    <s v="Devuelto"/>
    <x v="2"/>
    <m/>
    <s v="28 DE ENERO EN COTIZACIONES_x000a_"/>
    <d v="2022-01-31T00:00:00"/>
    <x v="5"/>
    <s v="ene"/>
    <n v="4"/>
    <n v="4"/>
    <x v="2"/>
    <s v="FUNCIONAMIENTO"/>
    <x v="0"/>
    <m/>
    <m/>
    <m/>
    <m/>
    <n v="157827595"/>
    <m/>
    <m/>
    <m/>
    <m/>
    <m/>
    <m/>
    <m/>
    <m/>
    <m/>
    <x v="0"/>
    <m/>
    <m/>
  </r>
  <r>
    <n v="118"/>
    <s v="0118"/>
    <x v="1"/>
    <d v="2022-01-27T00:00:00"/>
    <x v="1"/>
    <s v="GE0215"/>
    <s v="FR-500-GE-0177-2022"/>
    <s v="N/A"/>
    <s v="Suministro de aisladores electricos"/>
    <n v="36899520"/>
    <m/>
    <m/>
    <s v=""/>
    <n v="202202298"/>
    <m/>
    <s v="N/A"/>
    <s v="N/A"/>
    <s v="N/A"/>
    <x v="3"/>
    <s v="LINA ECHAVARRIA"/>
    <d v="2022-01-27T00:00:00"/>
    <e v="#VALUE!"/>
    <e v="#VALUE!"/>
    <s v="NO"/>
    <s v="Devuelto"/>
    <x v="2"/>
    <m/>
    <s v="28 de enero en solicitud de conceptos_x000a_28 DE ENERO SE DEVUELVE POR VENCIMIENTO DE PLAZO DE LEY DE GARANTIAS"/>
    <d v="2022-01-28T00:00:00"/>
    <x v="5"/>
    <s v="ene"/>
    <n v="1"/>
    <n v="1"/>
    <x v="2"/>
    <s v="FUNCIONAMIENTO"/>
    <x v="0"/>
    <m/>
    <m/>
    <m/>
    <m/>
    <n v="36899520"/>
    <m/>
    <m/>
    <m/>
    <m/>
    <m/>
    <m/>
    <m/>
    <m/>
    <m/>
    <x v="0"/>
    <m/>
    <m/>
  </r>
  <r>
    <n v="119"/>
    <s v="0119"/>
    <x v="1"/>
    <d v="2022-01-27T00:00:00"/>
    <x v="1"/>
    <s v="GE0184"/>
    <s v="FR-500-GE-0187-2022"/>
    <s v="N/A"/>
    <s v="Mnatenimiento general de las plantas de emergencia de las Subestaciones de Energía del Sistema de Distribución de Local de EMCALI EICE ESP."/>
    <n v="95200000"/>
    <m/>
    <s v="900-IP-0119-2022"/>
    <s v="IP-"/>
    <n v="202202439"/>
    <m/>
    <s v="N/A"/>
    <s v="N/A"/>
    <s v="N/A"/>
    <x v="2"/>
    <s v="LINA ECHAVARRIA"/>
    <d v="2022-01-27T00:00:00"/>
    <e v="#VALUE!"/>
    <e v="#VALUE!"/>
    <s v="NO"/>
    <s v="Devuelto"/>
    <x v="2"/>
    <m/>
    <s v="28 de enero en solicitud de conceptos_x000a_28 DE ENERO SE DEVUELVE POR PLAZO DE CUMPLIMIENTO DE LEY DE GARANTIAS"/>
    <d v="2022-01-28T00:00:00"/>
    <x v="5"/>
    <s v="ene"/>
    <n v="1"/>
    <n v="1"/>
    <x v="2"/>
    <s v="FUNCIONAMIENTO"/>
    <x v="0"/>
    <m/>
    <m/>
    <m/>
    <m/>
    <n v="95200000"/>
    <m/>
    <m/>
    <m/>
    <m/>
    <m/>
    <m/>
    <m/>
    <m/>
    <m/>
    <x v="0"/>
    <m/>
    <m/>
  </r>
  <r>
    <n v="120"/>
    <s v="0120"/>
    <x v="1"/>
    <d v="2022-01-27T00:00:00"/>
    <x v="1"/>
    <s v="GE0311"/>
    <s v="FR-500-GE-0118-2022"/>
    <s v="N/A"/>
    <s v="Suministro de CONECTORES, de acuerdo con las condiciones y especificaciones técnicas."/>
    <n v="60695367"/>
    <s v="31 de diciembre 2022"/>
    <s v="900-IP-0113-2021"/>
    <m/>
    <n v="202201916"/>
    <n v="152821240"/>
    <s v="N/A"/>
    <s v="N/A"/>
    <m/>
    <x v="2"/>
    <s v="LINA ECHAVARRIA"/>
    <d v="2022-01-27T00:00:00"/>
    <m/>
    <m/>
    <m/>
    <s v="Entregado al area"/>
    <x v="1"/>
    <m/>
    <m/>
    <d v="2022-02-08T00:00:00"/>
    <x v="2"/>
    <m/>
    <n v="12"/>
    <n v="12"/>
    <x v="2"/>
    <s v="OPERACIÓN_x000a_FUNCIONAMIENTO_x000a_INVERSION"/>
    <x v="99"/>
    <d v="2022-01-28T00:00:00"/>
    <n v="60695367"/>
    <s v="PROELCO SAS"/>
    <m/>
    <n v="0"/>
    <m/>
    <m/>
    <s v="2022-024"/>
    <d v="2022-01-19T00:00:00"/>
    <m/>
    <s v="BOGOTA"/>
    <s v="NACIONAL"/>
    <m/>
    <n v="0"/>
    <x v="0"/>
    <n v="1"/>
    <n v="8"/>
  </r>
  <r>
    <n v="121"/>
    <s v="0164"/>
    <x v="2"/>
    <d v="2022-02-01T00:00:00"/>
    <x v="2"/>
    <s v="GAA0349"/>
    <s v="FR-300-GAA-0040-2022"/>
    <s v="N/A"/>
    <s v="Suministro de rejillas para sumideros en polimero de 8 huecos"/>
    <n v="119148750"/>
    <m/>
    <s v="900-IPU-0164-2022"/>
    <s v="IPU"/>
    <n v="202201931"/>
    <m/>
    <s v="N/A"/>
    <s v="N/A"/>
    <s v="Menor cuantia"/>
    <x v="0"/>
    <s v="LINA ECHAVARRIA"/>
    <d v="2022-02-03T00:00:00"/>
    <e v="#VALUE!"/>
    <e v="#VALUE!"/>
    <s v="NO"/>
    <s v="Cerrado"/>
    <x v="0"/>
    <m/>
    <s v="se unio en el proceso 196"/>
    <m/>
    <x v="5"/>
    <s v=""/>
    <n v="-44593"/>
    <n v="-44595"/>
    <x v="3"/>
    <s v="FUNCIONAMIENTO"/>
    <x v="0"/>
    <m/>
    <m/>
    <m/>
    <m/>
    <m/>
    <n v="119148750"/>
    <m/>
    <m/>
    <m/>
    <m/>
    <m/>
    <m/>
    <m/>
    <m/>
    <x v="0"/>
    <m/>
    <m/>
  </r>
  <r>
    <n v="122"/>
    <s v="0165"/>
    <x v="2"/>
    <d v="2022-02-03T00:00:00"/>
    <x v="2"/>
    <s v="GAA0625"/>
    <s v="FR-300-GAA-0037-2022"/>
    <s v="N/A"/>
    <s v="Construcción de bases para instalar puente grua de las unidades de agua residual con capacidad de 20 toneladas en la Planta de Puerto Mallarino"/>
    <n v="200500000"/>
    <m/>
    <s v="900-IPU-0165-2022"/>
    <s v="IPU"/>
    <n v="202202197"/>
    <n v="200500000"/>
    <s v="N/A"/>
    <s v="N/A"/>
    <s v="Menor cuantia"/>
    <x v="0"/>
    <s v="VIAGNERY LOPEZ"/>
    <d v="2022-02-03T00:00:00"/>
    <e v="#VALUE!"/>
    <e v="#VALUE!"/>
    <s v="NO"/>
    <s v="Cerrado"/>
    <x v="0"/>
    <m/>
    <s v="23 de marzo se retrotrae a evaluacion sobre 1_x000a_5 de abril se reciben observaciones al informe de evaluacion_x000a_7 DE ABRIL SE CIERRA EL PROCESO Porque le proveedor no cumplio con las condiciones de contratacion"/>
    <d v="2022-04-07T00:00:00"/>
    <x v="5"/>
    <s v="abr"/>
    <n v="63"/>
    <n v="63"/>
    <x v="3"/>
    <s v="INVERSION"/>
    <x v="0"/>
    <m/>
    <m/>
    <m/>
    <m/>
    <m/>
    <n v="200500000"/>
    <m/>
    <m/>
    <m/>
    <m/>
    <m/>
    <m/>
    <m/>
    <m/>
    <x v="0"/>
    <m/>
    <m/>
  </r>
  <r>
    <n v="123"/>
    <s v="0166"/>
    <x v="2"/>
    <d v="2022-02-03T00:00:00"/>
    <x v="2"/>
    <s v="GAA0348"/>
    <s v="FR-300-GAA-0045-2022"/>
    <s v="N/A"/>
    <s v="Suministro de rejillas concreto reforzado para el mantenimiento de las redes de alcantarillado operadas por EMCALI"/>
    <n v="304203270"/>
    <m/>
    <s v="900-IPU-0166-2022"/>
    <s v="IPU"/>
    <n v="202201930"/>
    <m/>
    <s v="N/A"/>
    <s v="N/A"/>
    <s v="Menor cuantia"/>
    <x v="0"/>
    <s v="LINA ECHAVARRIA"/>
    <d v="2022-02-03T00:00:00"/>
    <e v="#VALUE!"/>
    <e v="#VALUE!"/>
    <s v="NO"/>
    <s v="Cerrado"/>
    <x v="0"/>
    <m/>
    <s v="se unio en el proceso 196"/>
    <m/>
    <x v="5"/>
    <s v=""/>
    <n v="-44595"/>
    <n v="-44595"/>
    <x v="3"/>
    <s v="FUNCIONAMIENTO"/>
    <x v="0"/>
    <m/>
    <m/>
    <m/>
    <m/>
    <m/>
    <n v="304203270"/>
    <m/>
    <m/>
    <m/>
    <m/>
    <m/>
    <m/>
    <m/>
    <m/>
    <x v="0"/>
    <m/>
    <m/>
  </r>
  <r>
    <n v="124"/>
    <s v="0167"/>
    <x v="2"/>
    <d v="2022-02-03T00:00:00"/>
    <x v="2"/>
    <s v="GAA0402"/>
    <s v="FR-300-GAA-0041-2022"/>
    <s v="300-CMA-1243-2020"/>
    <s v="Suministro de cloruro férrico en base líquida al 42% para ser utilizado en el tratamiento de las aguas residuales en la PTAR C."/>
    <n v="472775520"/>
    <s v="150 dias"/>
    <s v="N/A"/>
    <m/>
    <n v="202201853"/>
    <m/>
    <s v="N/A"/>
    <s v="N/A"/>
    <m/>
    <x v="1"/>
    <s v="LUCY ARBELAEZ"/>
    <d v="2022-02-03T00:00:00"/>
    <m/>
    <m/>
    <m/>
    <s v="Entregado al area"/>
    <x v="1"/>
    <m/>
    <m/>
    <d v="2022-02-24T00:00:00"/>
    <x v="6"/>
    <m/>
    <n v="21"/>
    <n v="21"/>
    <x v="0"/>
    <s v="FUNCIONAMIENTO"/>
    <x v="100"/>
    <d v="2022-02-10T00:00:00"/>
    <n v="472353399"/>
    <s v="QUIMPAC COLOMBIA SA"/>
    <m/>
    <n v="422121"/>
    <m/>
    <m/>
    <s v="N/A"/>
    <s v="N/A"/>
    <m/>
    <s v="YUMBO"/>
    <s v="MUNICIPAL"/>
    <m/>
    <n v="8.9285714285714283E-4"/>
    <x v="0"/>
    <n v="0"/>
    <n v="21"/>
  </r>
  <r>
    <n v="125"/>
    <s v="0168"/>
    <x v="2"/>
    <d v="2022-02-03T00:00:00"/>
    <x v="2"/>
    <s v="GAA0403"/>
    <s v="FR-300-GAA-0042-2022"/>
    <s v="300-CMA-1242-2020"/>
    <s v="Suministro polímero acondicionante de lodos para deshidratación, utilizado en el proceso de tratamiento de las aguas residuales en la PTAR C."/>
    <n v="751936899"/>
    <s v="70 dias"/>
    <s v="N/A"/>
    <m/>
    <n v="202201854"/>
    <n v="925579167"/>
    <s v="N/A"/>
    <s v="N/A"/>
    <s v="N/A"/>
    <x v="1"/>
    <s v="LUCY ARBELAEZ"/>
    <d v="2022-02-03T00:00:00"/>
    <e v="#REF!"/>
    <e v="#REF!"/>
    <s v="SI"/>
    <s v="Entregado al area"/>
    <x v="1"/>
    <s v="31 DE MARZO ADELANTANDO OTRO SI PARA AJUSTE DE PRECIOS_x000a_20 DE ABRIL ESPERANDO EN SOLICITUD DE RP_x000a_28 DE ABRIL ENTREGADO AL AREA"/>
    <m/>
    <d v="2022-04-28T00:00:00"/>
    <x v="8"/>
    <m/>
    <n v="84"/>
    <n v="84"/>
    <x v="0"/>
    <s v="FUNCIONAMIENTO"/>
    <x v="101"/>
    <d v="2022-04-20T00:00:00"/>
    <n v="748177472"/>
    <s v="SNF COLOMBIA SAS"/>
    <m/>
    <n v="3759427"/>
    <m/>
    <m/>
    <s v="N/A"/>
    <s v="N/A"/>
    <m/>
    <s v="TOCANCIPA"/>
    <s v="NACIONAL"/>
    <m/>
    <n v="4.9996575577015276E-3"/>
    <x v="0"/>
    <n v="0"/>
    <n v="84"/>
  </r>
  <r>
    <n v="126"/>
    <s v="0169"/>
    <x v="2"/>
    <d v="2022-02-03T00:00:00"/>
    <x v="2"/>
    <s v="GAA0404"/>
    <s v="FR-300-GAA-0043-2022"/>
    <s v="300-CMA-1242-2020"/>
    <s v="Suministro de polímero ayudante de floculación para ser utilizado en el tratamiento de las aguas residuales en la PTAR C."/>
    <n v="29768016"/>
    <m/>
    <s v="N/A"/>
    <m/>
    <n v="202201855"/>
    <m/>
    <s v="N/A"/>
    <s v="N/A"/>
    <s v="N/A"/>
    <x v="1"/>
    <s v="LUCY ARBELAEZ"/>
    <d v="2022-02-03T00:00:00"/>
    <e v="#REF!"/>
    <e v="#REF!"/>
    <s v="SI"/>
    <s v="Entregado al area"/>
    <x v="1"/>
    <s v="31 DE MARZO ADELANTANDO OTRO SI PARA AJUSTE DE PRECIOS_x000a_20 DE ABRIL ESPERANDO EN SOLICITUD DE RP"/>
    <m/>
    <d v="2022-04-28T00:00:00"/>
    <x v="8"/>
    <m/>
    <n v="84"/>
    <n v="84"/>
    <x v="0"/>
    <s v="FUNCIONAMIENTO"/>
    <x v="101"/>
    <d v="2022-04-20T00:00:00"/>
    <n v="29620147"/>
    <s v="SNF COLOMBIA SAS"/>
    <m/>
    <n v="147869"/>
    <m/>
    <m/>
    <m/>
    <m/>
    <m/>
    <m/>
    <m/>
    <m/>
    <n v="4.9673784104389083E-3"/>
    <x v="0"/>
    <n v="0"/>
    <n v="84"/>
  </r>
  <r>
    <n v="127"/>
    <s v="0170"/>
    <x v="2"/>
    <d v="2022-02-03T00:00:00"/>
    <x v="2"/>
    <s v="GAA0405"/>
    <s v="FR-300-GAA-0044-2022"/>
    <s v="300-CMA-1240-2020"/>
    <s v="Suministro de producto para control de olores en el tratamiento de las aguas residuales de la PTAR C."/>
    <n v="11099852"/>
    <s v="150 dias"/>
    <s v="N/A"/>
    <m/>
    <n v="202201856"/>
    <m/>
    <s v="N/A"/>
    <s v="N/A"/>
    <m/>
    <x v="1"/>
    <s v="LUCY ARBELAEZ"/>
    <d v="2022-02-03T00:00:00"/>
    <m/>
    <m/>
    <m/>
    <s v="Entregado al area"/>
    <x v="1"/>
    <m/>
    <m/>
    <d v="2022-02-28T00:00:00"/>
    <x v="6"/>
    <m/>
    <n v="25"/>
    <n v="25"/>
    <x v="0"/>
    <s v="FUNCIONAMIENTO"/>
    <x v="102"/>
    <d v="2022-02-17T00:00:00"/>
    <n v="11043096"/>
    <s v="PROAQO INGENIERIA  SAS"/>
    <m/>
    <n v="56756"/>
    <m/>
    <m/>
    <s v="N/A"/>
    <s v="N/A"/>
    <m/>
    <s v="BOGOTA"/>
    <s v="NACIONAL"/>
    <m/>
    <n v="5.1132213294375461E-3"/>
    <x v="0"/>
    <n v="0"/>
    <n v="25"/>
  </r>
  <r>
    <n v="128"/>
    <s v="0171"/>
    <x v="2"/>
    <d v="2022-02-07T00:00:00"/>
    <x v="2"/>
    <s v="GAA0347"/>
    <s v="FR-300-GAA-0046-2022"/>
    <s v="300-CMA-1974-2020"/>
    <s v="Compra de herramientas para la reparación de daños servicio de alcantarillado PUNTAS ROMPEPAVIMENTO"/>
    <n v="43271668"/>
    <s v="2 meses"/>
    <s v="N/A"/>
    <m/>
    <n v="202201929"/>
    <m/>
    <s v="N/A"/>
    <s v="N/A"/>
    <s v="N/A"/>
    <x v="1"/>
    <s v="LUCY ARBELAEZ"/>
    <d v="2022-02-07T00:00:00"/>
    <n v="-44599"/>
    <n v="-44599"/>
    <s v="SI"/>
    <s v="Entregado al area"/>
    <x v="1"/>
    <s v="31 DE MARZO ADELANTANDO OTRO SI PARA AJUSTE DE PRECIOS_x000a_20 DE ABRIL ESPERANDO OTRO SI _x000a_9 DE MAYO EN REVISION DE LA FPA E INVITACION_x000a_17 de mayo en evaluacion de ofertas_x000a_23 DE MAYO EN SOLICITUD DE REGISTRO _x000a_6 DE JUNIO ENTREGADO AL AREA"/>
    <m/>
    <d v="2022-06-06T00:00:00"/>
    <x v="9"/>
    <m/>
    <n v="119"/>
    <n v="119"/>
    <x v="0"/>
    <s v="FUNCIONAMIENTO"/>
    <x v="103"/>
    <d v="2022-05-23T00:00:00"/>
    <n v="42033077"/>
    <s v="EQUIPOS Y HERRAMIENTAS INDUSTRIALES SAS"/>
    <n v="202205478"/>
    <n v="1238591"/>
    <m/>
    <m/>
    <s v="2022-046"/>
    <d v="2022-01-25T00:00:00"/>
    <m/>
    <s v="CALI"/>
    <s v="LOCAL"/>
    <s v="UNIDAD DE RECOLECCION"/>
    <n v="2.8623601937415494E-2"/>
    <x v="0"/>
    <n v="0"/>
    <n v="119"/>
  </r>
  <r>
    <n v="129"/>
    <s v="0172"/>
    <x v="2"/>
    <d v="2022-02-07T00:00:00"/>
    <x v="2"/>
    <s v="GAA0359"/>
    <s v="FR-300-GAA-0048-2022"/>
    <s v="N/A"/>
    <s v="Investigar los colectores Pluviales y Sanitarios con equipo de Circuito Cerrado de Televisión y Detectar los predios que presentan conexiones erradas de Alcantarillado a la Red Pluvial"/>
    <n v="769237672"/>
    <s v="6 MESES"/>
    <s v="900-IPU-0172-2022"/>
    <m/>
    <n v="202200918"/>
    <m/>
    <s v="N/A"/>
    <s v="N/A"/>
    <s v="Mayor cuantia"/>
    <x v="0"/>
    <s v="HAROLD MONDRAGON"/>
    <d v="2022-02-18T00:00:00"/>
    <e v="#REF!"/>
    <e v="#REF!"/>
    <s v="SI"/>
    <s v="Entregado al area"/>
    <x v="1"/>
    <s v="31 de marzo se reciben ofertas _x000a_5 de abril en solicitud de subsanables_x000a_20 DE ABRIL EN EVALUACION SOBRE 1_x000a_7 DE MAYO REASIGNADO A HAROLDO MONDRAGON_x000a_9 DE MAYO SE PUBLICA INFORME DE EVALUACION_x000a_17 de mayo en acta de adjudicacion y firma de la aceptacion_x000a_24 DE MAYO EN SOLICITUD DE POLIZAS_x000a_9 DE JUNIO ESPERANDO POLIZA POR PARTE DEL PROVEEDOR"/>
    <m/>
    <d v="2022-06-13T00:00:00"/>
    <x v="9"/>
    <m/>
    <n v="126"/>
    <n v="115"/>
    <x v="0"/>
    <s v="FUNCIONAMIENTO"/>
    <x v="104"/>
    <d v="2022-05-18T00:00:00"/>
    <n v="737800000"/>
    <s v="SG INGENIERIA EN DUCTOS SA"/>
    <n v="202205488"/>
    <n v="31437672"/>
    <m/>
    <m/>
    <m/>
    <m/>
    <m/>
    <s v="BOGOTA"/>
    <s v="NACIONAL"/>
    <m/>
    <n v="4.0868606861469467E-2"/>
    <x v="0"/>
    <n v="2"/>
    <n v="111"/>
  </r>
  <r>
    <n v="130"/>
    <s v="0173"/>
    <x v="2"/>
    <d v="2022-02-10T00:00:00"/>
    <x v="2"/>
    <s v="GAA0264"/>
    <s v="FR-300-GAA-0049-2022"/>
    <s v="N/A"/>
    <s v="Mantenimiento y calibración sistemas de pesaje plantas de tratamiento de agua potable"/>
    <n v="29720250"/>
    <m/>
    <s v="900-IPU-0173-2022"/>
    <s v="IPU"/>
    <n v="202200893"/>
    <m/>
    <s v="N/A"/>
    <s v="N/A"/>
    <s v="Menor cuantia"/>
    <x v="0"/>
    <s v="PAOLA BELTRAN"/>
    <d v="2022-02-10T00:00:00"/>
    <e v="#VALUE!"/>
    <e v="#VALUE!"/>
    <s v="NO"/>
    <s v="Cerrado"/>
    <x v="0"/>
    <m/>
    <s v="23 de marzo en adenda de modificacion de plazo_x000a_31 DE MARZO SE CERRO EL PROCESO NO SE PRESENTO PROPONENTE"/>
    <d v="2022-03-31T00:00:00"/>
    <x v="5"/>
    <s v="mar"/>
    <n v="49"/>
    <n v="49"/>
    <x v="3"/>
    <s v="FUNCIONAMIENTO"/>
    <x v="0"/>
    <m/>
    <m/>
    <m/>
    <m/>
    <m/>
    <n v="29720250"/>
    <m/>
    <m/>
    <m/>
    <m/>
    <m/>
    <m/>
    <m/>
    <m/>
    <x v="0"/>
    <m/>
    <m/>
  </r>
  <r>
    <n v="131"/>
    <s v="0174"/>
    <x v="0"/>
    <d v="2022-02-14T00:00:00"/>
    <x v="2"/>
    <s v="GT0129"/>
    <s v="FR-400-GT-0152-2022"/>
    <s v="500-CMA-1743-2021"/>
    <s v="Suministro de cables BCH y alambres de cobre para el mantenimiento e instalación de las redes de Acceso de los Servicios de Telecomunicaciones"/>
    <n v="1363682642"/>
    <s v="45 dias"/>
    <s v="N/A"/>
    <m/>
    <n v="202202435"/>
    <m/>
    <s v="N/A"/>
    <s v="N/A"/>
    <m/>
    <x v="1"/>
    <s v="ESTEFANIA SANCHEZ"/>
    <d v="2022-02-14T00:00:00"/>
    <e v="#REF!"/>
    <e v="#REF!"/>
    <s v="SI"/>
    <s v="Entregado al area"/>
    <x v="1"/>
    <s v="23 de marzo esperando polizas del proveedor"/>
    <m/>
    <d v="2022-03-31T00:00:00"/>
    <x v="7"/>
    <m/>
    <n v="45"/>
    <n v="45"/>
    <x v="0"/>
    <s v="FUNCIONAMIENTO"/>
    <x v="105"/>
    <d v="2022-03-16T00:00:00"/>
    <n v="1273355871"/>
    <s v="CENTELSA SA"/>
    <m/>
    <n v="90326771"/>
    <m/>
    <m/>
    <s v="N/A"/>
    <s v="N/A"/>
    <m/>
    <s v="YUMBO"/>
    <s v="MUNICIPAL"/>
    <m/>
    <n v="6.6237384137650401E-2"/>
    <x v="0"/>
    <n v="0"/>
    <n v="45"/>
  </r>
  <r>
    <n v="132"/>
    <s v="0175"/>
    <x v="6"/>
    <d v="2022-02-15T00:00:00"/>
    <x v="2"/>
    <s v="GTI0019"/>
    <s v="FR-200-GTI-0013-2022"/>
    <s v="N/A"/>
    <s v="Suscripción de una plataforma integral de mensajería, correo electrónico y trabajo colaborativo en la Nube."/>
    <n v="1222350357"/>
    <m/>
    <s v="900-IPU-0175-2022"/>
    <s v="IPU"/>
    <n v="202202134"/>
    <m/>
    <s v="N/A"/>
    <s v="N/A"/>
    <s v="Mayor cuantia"/>
    <x v="0"/>
    <s v="PABLO CAICEDO"/>
    <d v="2022-02-15T00:00:00"/>
    <e v="#VALUE!"/>
    <e v="#VALUE!"/>
    <s v="NO"/>
    <s v="Cerrado"/>
    <x v="0"/>
    <m/>
    <m/>
    <d v="2022-02-15T00:00:00"/>
    <x v="5"/>
    <s v="feb"/>
    <n v="0"/>
    <n v="0"/>
    <x v="3"/>
    <s v="FUNCIONAMIENTO"/>
    <x v="0"/>
    <m/>
    <m/>
    <m/>
    <m/>
    <m/>
    <n v="1222350357"/>
    <m/>
    <m/>
    <m/>
    <m/>
    <m/>
    <m/>
    <m/>
    <m/>
    <x v="1"/>
    <m/>
    <m/>
  </r>
  <r>
    <n v="133"/>
    <s v="0176"/>
    <x v="6"/>
    <d v="2022-02-15T00:00:00"/>
    <x v="2"/>
    <s v="GTI0003"/>
    <s v="FR-200-GTI-0092-2022"/>
    <s v="N/A"/>
    <s v="Adquirir e implementar PURE STORAGE crecimiento Scale-Out X50r3 /c40R3 247TB"/>
    <n v="1510200000"/>
    <s v="3 Meses"/>
    <s v="900-IPU-0176-2022"/>
    <m/>
    <n v="202202601"/>
    <n v="1510200000"/>
    <s v="N/A"/>
    <s v="N/A"/>
    <s v="Mayor cuantia"/>
    <x v="0"/>
    <s v="PABLO CAICEDO"/>
    <d v="2022-02-15T00:00:00"/>
    <n v="107"/>
    <n v="107"/>
    <s v="SI"/>
    <s v="Entregado al area"/>
    <x v="1"/>
    <s v="31 de marzo esperando las polizas por parte del proveedor_x000a_6 ABRIL ENTREGADO AL AREA"/>
    <m/>
    <d v="2022-04-06T00:00:00"/>
    <x v="8"/>
    <m/>
    <n v="50"/>
    <n v="50"/>
    <x v="0"/>
    <s v="FUNCIONAMIENTO"/>
    <x v="106"/>
    <d v="2022-03-30T00:00:00"/>
    <n v="1510199964"/>
    <s v="NOVOPANGEA GROUP SAS"/>
    <m/>
    <n v="36"/>
    <m/>
    <m/>
    <s v="N/A"/>
    <s v="N/A"/>
    <m/>
    <s v="CALI"/>
    <s v="LOCAL"/>
    <m/>
    <n v="2.3837902264600715E-8"/>
    <x v="1"/>
    <n v="2"/>
    <n v="50"/>
  </r>
  <r>
    <n v="134"/>
    <s v="0177"/>
    <x v="2"/>
    <d v="2022-02-16T00:00:00"/>
    <x v="2"/>
    <s v="GAA0275"/>
    <s v="FR-300-GAA-0053-2022"/>
    <s v="N/A"/>
    <s v="Suministro de varillas para operación de valvulas de la red matriz de acueducto"/>
    <n v="9090372"/>
    <m/>
    <s v="N/A"/>
    <s v=""/>
    <n v="202200778"/>
    <m/>
    <s v="N/A"/>
    <s v="N/A"/>
    <s v="N/A"/>
    <x v="3"/>
    <s v="LUCY ARBELAEZ"/>
    <d v="2022-02-16T00:00:00"/>
    <e v="#VALUE!"/>
    <e v="#VALUE!"/>
    <s v="NO"/>
    <s v="Devuelto"/>
    <x v="2"/>
    <m/>
    <m/>
    <d v="2022-07-01T00:00:00"/>
    <x v="5"/>
    <s v="jul"/>
    <n v="135"/>
    <n v="135"/>
    <x v="3"/>
    <s v="FUNCIONAMIENTO"/>
    <x v="0"/>
    <m/>
    <m/>
    <m/>
    <m/>
    <n v="9090372"/>
    <m/>
    <m/>
    <m/>
    <m/>
    <m/>
    <m/>
    <m/>
    <m/>
    <m/>
    <x v="0"/>
    <m/>
    <m/>
  </r>
  <r>
    <n v="135"/>
    <s v="0178"/>
    <x v="2"/>
    <d v="2022-02-16T00:00:00"/>
    <x v="2"/>
    <s v="GAA0277"/>
    <s v="FR-300-GAA-0054-2022"/>
    <s v="N/A"/>
    <s v="Compra de cartas graficas circulares para registradores ref 4686 x 100 UND"/>
    <n v="4961235"/>
    <m/>
    <s v="900-IPU-0178-2022"/>
    <s v="IPU"/>
    <n v="202200780"/>
    <m/>
    <s v="N/A"/>
    <s v="N/A"/>
    <s v="Menor cuantia"/>
    <x v="0"/>
    <s v="ANA MARIA GIL"/>
    <d v="2022-02-16T00:00:00"/>
    <e v="#VALUE!"/>
    <e v="#VALUE!"/>
    <s v="NO"/>
    <s v="Cerrado"/>
    <x v="0"/>
    <m/>
    <s v="23 de marzo en respuestas a observaciones_x000a_31 de marzo se cierra porque el proveedor no cumple "/>
    <d v="2022-03-31T00:00:00"/>
    <x v="5"/>
    <s v="mar"/>
    <n v="43"/>
    <n v="43"/>
    <x v="3"/>
    <s v="FUNCIONAMIENTO"/>
    <x v="0"/>
    <m/>
    <m/>
    <m/>
    <m/>
    <m/>
    <n v="4961235"/>
    <m/>
    <m/>
    <m/>
    <m/>
    <m/>
    <m/>
    <m/>
    <m/>
    <x v="0"/>
    <m/>
    <m/>
  </r>
  <r>
    <n v="136"/>
    <s v="0179"/>
    <x v="2"/>
    <d v="2022-02-16T00:00:00"/>
    <x v="2"/>
    <s v="GAA0276"/>
    <s v="FR-300-GAA-0055-2022"/>
    <s v="N/A"/>
    <s v="Mantenimiento de equipos de pruebas hidrostaticas"/>
    <n v="5222524"/>
    <s v="31 de diciembre 2022"/>
    <s v="900-IPU-0179-2022"/>
    <m/>
    <n v="202200779"/>
    <m/>
    <s v="N/A"/>
    <s v="N/A"/>
    <s v="Menor cuantia"/>
    <x v="0"/>
    <s v="JULIO GARCIA"/>
    <d v="2022-02-16T00:00:00"/>
    <n v="106"/>
    <n v="106"/>
    <s v="SI"/>
    <s v="Entregado al area"/>
    <x v="1"/>
    <s v="23 de marzo en elaboracon de fpa e invitacion_x000a_19 DE ABRIL recepcion de ofertas_x000a_5 DE MAYO EN EVALUACION DE OFERTAS_x000a_17 de mayo en publicacion del informe de evaluacion_x000a_24 DE MAYO A LA ESPERA DE POLIZAS"/>
    <m/>
    <d v="2022-05-27T00:00:00"/>
    <x v="8"/>
    <m/>
    <n v="100"/>
    <n v="100"/>
    <x v="0"/>
    <s v="FUNCIONAMIENTO"/>
    <x v="107"/>
    <d v="2022-05-23T00:00:00"/>
    <n v="5213002"/>
    <s v="LACC INGENIERIA SAS"/>
    <m/>
    <n v="9522"/>
    <m/>
    <m/>
    <s v="N/A"/>
    <s v="N/A"/>
    <m/>
    <s v="CALI"/>
    <s v="LOCAL"/>
    <m/>
    <n v="1.8232563411867519E-3"/>
    <x v="0"/>
    <n v="2"/>
    <n v="100"/>
  </r>
  <r>
    <n v="137"/>
    <s v="0180"/>
    <x v="2"/>
    <d v="2022-02-16T00:00:00"/>
    <x v="2"/>
    <s v="GAA0274"/>
    <s v="FR-300-GAA-0056-2022"/>
    <s v="N/A"/>
    <s v="Mantenimiento de las casetas de protección"/>
    <n v="5580200"/>
    <m/>
    <s v="900-IPU-0180-2022"/>
    <s v="IPU"/>
    <n v="202200777"/>
    <m/>
    <s v="N/A"/>
    <s v="N/A"/>
    <s v="Menor cuantia"/>
    <x v="0"/>
    <s v="JHON LARRY "/>
    <d v="2022-02-16T00:00:00"/>
    <e v="#VALUE!"/>
    <e v="#VALUE!"/>
    <s v="NO"/>
    <s v="Cerrado"/>
    <x v="0"/>
    <m/>
    <s v="24 de marzo en recepcion de ofertas_x000a_31 DE MARZO SE CIERRA PORQUE NADIE PRESENTO OFERTAS"/>
    <d v="2022-04-08T00:00:00"/>
    <x v="5"/>
    <s v="abr"/>
    <n v="51"/>
    <n v="51"/>
    <x v="0"/>
    <s v="FUNCIONAMIENTO"/>
    <x v="0"/>
    <m/>
    <m/>
    <m/>
    <m/>
    <m/>
    <n v="5580200"/>
    <m/>
    <m/>
    <m/>
    <m/>
    <m/>
    <m/>
    <m/>
    <m/>
    <x v="0"/>
    <m/>
    <m/>
  </r>
  <r>
    <n v="138"/>
    <s v="0181"/>
    <x v="2"/>
    <d v="2022-02-17T00:00:00"/>
    <x v="2"/>
    <s v="GAA0267"/>
    <s v="FR-300-GAA-0057-2022"/>
    <s v="N/A"/>
    <s v="Suministro de luminarias LED para PTAP"/>
    <n v="29999960"/>
    <s v="90 dias"/>
    <s v="900-IPU-0181-2022"/>
    <m/>
    <n v="202202192"/>
    <n v="30000000"/>
    <s v="N/A"/>
    <s v="N/A"/>
    <s v="Menor cuantia"/>
    <x v="0"/>
    <s v="JUAN PABLO QUIMBAYO"/>
    <d v="2022-02-17T00:00:00"/>
    <n v="105"/>
    <n v="105"/>
    <s v="SI"/>
    <s v="Entregado al area"/>
    <x v="1"/>
    <s v="23 de marzo eN evaluacion sobre 1_x000a_31 DE MARZO PUBLICACION DE INFORME DE EVALUACION_x000a_5 de abril en espera de las polizas por parte del proveedor_x000a_20 DE ABRIL EN APROBACION DE POLIZA_x000a_22 DE ABRIL ENTREGADO AL AREA"/>
    <m/>
    <d v="2022-04-22T00:00:00"/>
    <x v="8"/>
    <m/>
    <n v="64"/>
    <n v="64"/>
    <x v="0"/>
    <s v="INVERSION"/>
    <x v="108"/>
    <d v="2022-04-01T00:00:00"/>
    <n v="29988000"/>
    <s v="EQUIPLECO SOLUCION INTEGRAL SAS "/>
    <m/>
    <n v="11960"/>
    <m/>
    <m/>
    <s v="2022-062"/>
    <d v="2022-02-04T00:00:00"/>
    <m/>
    <s v="CALI"/>
    <s v="LOCAL"/>
    <m/>
    <n v="3.9866719822293097E-4"/>
    <x v="0"/>
    <n v="2"/>
    <n v="64"/>
  </r>
  <r>
    <n v="139"/>
    <s v="0182"/>
    <x v="2"/>
    <d v="2022-02-18T00:00:00"/>
    <x v="2"/>
    <s v="GAA0106"/>
    <s v="FR-300-GAA-0034-2022"/>
    <s v="N/A"/>
    <s v="Levantamientos planimetricos y altimetricos topograficos año 2022, para proyectos priorizados GUENAA de Acueducto y Alcantarillado"/>
    <n v="119987700"/>
    <m/>
    <s v="900-IPU-0182-2022"/>
    <s v="IPU"/>
    <n v="202201992"/>
    <m/>
    <s v="N/A"/>
    <s v="N/A"/>
    <s v="Menor cuantia"/>
    <x v="0"/>
    <s v="LINA ECHAVARRIA"/>
    <d v="2022-02-25T00:00:00"/>
    <e v="#VALUE!"/>
    <e v="#VALUE!"/>
    <s v="NO"/>
    <s v="Cerrado"/>
    <x v="0"/>
    <m/>
    <s v="31 de marzo en recepcion de ofertas que se reciben el 6 de abril_x000a_7 de abril se cerro el proceso se solicito derivada para sacarlo como invitacion privada"/>
    <d v="2022-04-07T00:00:00"/>
    <x v="5"/>
    <s v="abr"/>
    <n v="48"/>
    <n v="41"/>
    <x v="3"/>
    <s v="FUNCIONAMIENTO"/>
    <x v="0"/>
    <m/>
    <m/>
    <m/>
    <m/>
    <m/>
    <n v="119987700"/>
    <m/>
    <m/>
    <m/>
    <m/>
    <m/>
    <m/>
    <m/>
    <m/>
    <x v="0"/>
    <m/>
    <m/>
  </r>
  <r>
    <n v="140"/>
    <s v="0183"/>
    <x v="2"/>
    <d v="2022-02-18T00:00:00"/>
    <x v="2"/>
    <s v="GAA0108"/>
    <s v="FR-300-GAA-0035-2022"/>
    <s v="N/A"/>
    <s v="Adelantar acompañamiento en Geotecnia incluyendo asesorias, trabajos de campo, ensayos de laboratorio e informes tecnicos requeridos para el desarrollo de evaluaciones geotecnicas 2022"/>
    <n v="99995700"/>
    <m/>
    <s v="900-IPU-0183-2022"/>
    <s v="IPU"/>
    <n v="202201991"/>
    <m/>
    <s v="N/A"/>
    <s v="N/A"/>
    <s v="Menor cuantia"/>
    <x v="0"/>
    <s v="LINA ECHAVARRIA"/>
    <d v="2022-02-25T00:00:00"/>
    <e v="#VALUE!"/>
    <e v="#VALUE!"/>
    <s v="NO"/>
    <s v="Cerrado"/>
    <x v="0"/>
    <m/>
    <s v="31 de marzo en recepcion de ofertas que se reciben el 7 de abril_x000a_7 de abril en evaluacion sobre 1"/>
    <d v="2022-04-07T00:00:00"/>
    <x v="5"/>
    <s v="abr"/>
    <n v="48"/>
    <n v="41"/>
    <x v="3"/>
    <s v="FUNCIONAMIENTO"/>
    <x v="0"/>
    <m/>
    <m/>
    <m/>
    <m/>
    <m/>
    <n v="99995700"/>
    <m/>
    <m/>
    <m/>
    <m/>
    <m/>
    <m/>
    <m/>
    <m/>
    <x v="0"/>
    <m/>
    <m/>
  </r>
  <r>
    <n v="141"/>
    <s v="0184"/>
    <x v="7"/>
    <d v="2022-02-21T00:00:00"/>
    <x v="2"/>
    <s v="SG0052"/>
    <s v="FR-100-SG-0061-2022"/>
    <s v="N/A"/>
    <s v="Prestación de servicios para realizar actividades de gestión del cambio organizacional en torno a la actualización de la estructura de la información en la Gestión Documental de EMCALI EICE ESP"/>
    <n v="500000000"/>
    <m/>
    <s v="900-IPU-0184-2022"/>
    <s v="IPU"/>
    <n v="202201953"/>
    <m/>
    <s v="N/A"/>
    <s v="N/A"/>
    <s v="Menor cuantia"/>
    <x v="0"/>
    <s v="LEIDY DIANA FRANCO"/>
    <d v="2022-03-01T00:00:00"/>
    <e v="#VALUE!"/>
    <e v="#VALUE!"/>
    <s v="NO"/>
    <s v="Cerrado"/>
    <x v="0"/>
    <m/>
    <s v="31 de marzo en inteligencia de mercado_x000a_20 de abril a la espera de inteligencias de mercado_x000a_5 de mayo en revision de la cc por parte de silvia por cambio de formatos_x000a_24 DE MAYO EN RECEPCION DE OFERTAS SE RECIBEN EL 26 DE MAYO_x000a_8 de junio se cerro porque el oferente no presento poiza de la seriedad de la oferta."/>
    <d v="2022-06-08T00:00:00"/>
    <x v="5"/>
    <s v="jun"/>
    <n v="107"/>
    <n v="99"/>
    <x v="3"/>
    <s v="FUNCIONAMIENTO"/>
    <x v="0"/>
    <m/>
    <m/>
    <m/>
    <m/>
    <m/>
    <n v="500000000"/>
    <m/>
    <m/>
    <m/>
    <m/>
    <m/>
    <m/>
    <m/>
    <m/>
    <x v="1"/>
    <m/>
    <m/>
  </r>
  <r>
    <n v="142"/>
    <s v="0185"/>
    <x v="6"/>
    <d v="2022-02-23T00:00:00"/>
    <x v="2"/>
    <s v="GTI0176"/>
    <s v="FR-200-GTI-0090-2022"/>
    <s v="N/A"/>
    <s v="Arrendamiento de equipos de ofimatica según especificaciones mínimas del alcance del objeto y los accesos que garanticen su adecuado funcionamiento y disponibilidad para la Gerencia Comercial de Empresas Municipales de Cali, cediendole el derecho a su uso y goce, en sus propias instalaciones"/>
    <n v="300000000"/>
    <s v="31 DE DICIEMBRE 2022"/>
    <s v="900-IPU-0185-2022"/>
    <m/>
    <n v="202202680"/>
    <n v="300000000"/>
    <s v="N/A"/>
    <s v="N/A"/>
    <s v="Menor cuantia"/>
    <x v="0"/>
    <s v="HAROLD MONDRAGON"/>
    <d v="2022-02-25T00:00:00"/>
    <e v="#REF!"/>
    <e v="#REF!"/>
    <s v="SI"/>
    <s v="Entregado al area"/>
    <x v="1"/>
    <s v="31 DE MARZO ELABORACION DE FPA Y CC_x000a_18 DE ABRIL PUBLICADO_x000a_5 DE MAYO EN RECEPCION DE SUBSANABLES_x000a_17 de mayo informe de evaluacion_x000a_23 DE MAYO EN RESPUESTA A OBSERVACIONES AL INFORME DE EVALUACION_x000a_2 DE JUNIO ENTREGADO AL AREA"/>
    <m/>
    <d v="2022-06-02T00:00:00"/>
    <x v="9"/>
    <m/>
    <n v="99"/>
    <n v="97"/>
    <x v="0"/>
    <s v="FUNCIONAMIENTO"/>
    <x v="109"/>
    <d v="2022-05-26T00:00:00"/>
    <n v="300000000"/>
    <s v="PC COM SA"/>
    <n v="202205624"/>
    <n v="0"/>
    <m/>
    <m/>
    <s v="N/A"/>
    <s v="N/A"/>
    <m/>
    <s v="BOGOTA"/>
    <s v="NACIONAL "/>
    <m/>
    <n v="0"/>
    <x v="1"/>
    <n v="2"/>
    <n v="99"/>
  </r>
  <r>
    <n v="143"/>
    <s v="0186"/>
    <x v="2"/>
    <d v="2022-02-23T00:00:00"/>
    <x v="2"/>
    <s v="GAA0263"/>
    <s v="FR-300-GAA-0059-2022"/>
    <s v="N/A"/>
    <s v="Mantenimiento sistema Scada a estaciones y plantas de tratamiento de Agua Potable"/>
    <n v="179985537"/>
    <m/>
    <s v="900-IPU-0186-2022"/>
    <s v="IPU"/>
    <n v="202200892"/>
    <m/>
    <s v="N/A"/>
    <s v="N/A"/>
    <s v="Menor cuantia"/>
    <x v="0"/>
    <s v="HAROLD MONDRAGON"/>
    <d v="2022-02-25T00:00:00"/>
    <e v="#VALUE!"/>
    <e v="#VALUE!"/>
    <s v="NO"/>
    <s v="Cerrado"/>
    <x v="0"/>
    <m/>
    <s v="23 de marzo esperando la firma del gerente jorge_x000a_31 DE MARZO EN RESPUESTA A OBSERVACIONES Y ADENDA_x000a_5 de abril se reciben ofertas el 7 de abril_x000a_19 de abril en solicitud de subsanables_x000a_9 DE MAYO SE CERRO PORQUE LOS DOS PROPONENTES QUEDARON INADMISIBLES"/>
    <d v="2022-05-09T00:00:00"/>
    <x v="5"/>
    <s v="may"/>
    <n v="75"/>
    <n v="73"/>
    <x v="3"/>
    <s v="FUNCIONAMIENTO"/>
    <x v="0"/>
    <m/>
    <m/>
    <m/>
    <m/>
    <m/>
    <n v="179985537"/>
    <m/>
    <m/>
    <m/>
    <m/>
    <m/>
    <m/>
    <m/>
    <m/>
    <x v="0"/>
    <m/>
    <m/>
  </r>
  <r>
    <n v="144"/>
    <s v="0187"/>
    <x v="2"/>
    <d v="2022-02-23T00:00:00"/>
    <x v="2"/>
    <s v="GAA0253"/>
    <s v="FR-300-GAA-0061-2022"/>
    <s v="N/A"/>
    <s v="Suministro de dos variadores de velocidad de 1250 HP A 4160 Voltios Planta de Puerto Mallarino"/>
    <n v="3058210890"/>
    <m/>
    <s v="900-IPU-0187-2022"/>
    <s v="IPU"/>
    <n v="202202189"/>
    <m/>
    <s v="N/A"/>
    <s v="N/A"/>
    <s v="Mayor cuantia"/>
    <x v="0"/>
    <s v="JUAN PABLO QUIMBAYO"/>
    <d v="2022-02-25T00:00:00"/>
    <e v="#VALUE!"/>
    <e v="#VALUE!"/>
    <s v="NO"/>
    <s v="Cerrado"/>
    <x v="0"/>
    <m/>
    <s v="31 DE MARZO PUBLICADO _x000a_5 de abril en respuesta a observaciones_x000a_20 DE ABRIL EN RECEPCION DE OFERTAS_x000a_4 DE MAYO APERTURA DE URNA_x000a_5 DE MAYO SE CIERRA PORQUE LOS PROVEEDORES QUE SE PRESENTARON NO ESTAN REGISTRADOS"/>
    <d v="2022-05-04T00:00:00"/>
    <x v="5"/>
    <s v="may"/>
    <n v="70"/>
    <n v="68"/>
    <x v="3"/>
    <s v="INVERSION"/>
    <x v="0"/>
    <m/>
    <m/>
    <m/>
    <m/>
    <m/>
    <n v="3058210890"/>
    <m/>
    <m/>
    <m/>
    <m/>
    <m/>
    <m/>
    <m/>
    <m/>
    <x v="0"/>
    <m/>
    <m/>
  </r>
  <r>
    <n v="145"/>
    <s v="0188"/>
    <x v="2"/>
    <d v="2022-02-23T00:00:00"/>
    <x v="2"/>
    <s v="GAA0258"/>
    <s v="FR-300-GAA-0062-2022"/>
    <s v="N/A"/>
    <s v="Suministro de unidades de bombeo sumergibles PTAP Puerto Mallarino"/>
    <n v="241153500"/>
    <m/>
    <s v="900-IPU-0188-2022"/>
    <m/>
    <n v="202202191"/>
    <m/>
    <s v="N/A"/>
    <s v="N/A"/>
    <s v="Menor cuantia"/>
    <x v="0"/>
    <s v="HAROLD MONDRAGON"/>
    <d v="2022-02-25T00:00:00"/>
    <e v="#REF!"/>
    <e v="#REF!"/>
    <s v="SI"/>
    <s v="Entregado al area"/>
    <x v="1"/>
    <s v="23 de marzo en revision por silvia de la fpa e invitacion_x000a_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
    <m/>
    <d v="2022-06-28T00:00:00"/>
    <x v="9"/>
    <m/>
    <n v="125"/>
    <n v="123"/>
    <x v="0"/>
    <s v="INVERSION"/>
    <x v="110"/>
    <d v="2022-05-18T00:00:00"/>
    <n v="238000000"/>
    <s v="CONSORCIO ETEL ABC"/>
    <n v="202205763"/>
    <n v="3153500"/>
    <m/>
    <m/>
    <m/>
    <m/>
    <m/>
    <s v="CALI"/>
    <s v="LOCAL"/>
    <m/>
    <n v="1.3076733283987171E-2"/>
    <x v="0"/>
    <n v="2"/>
    <n v="98"/>
  </r>
  <r>
    <n v="146"/>
    <s v="0189"/>
    <x v="2"/>
    <d v="2022-02-24T00:00:00"/>
    <x v="2"/>
    <s v="GAA0395"/>
    <s v="FR-300-GAA-0064-2022"/>
    <s v="N/A"/>
    <s v="Suministro de una bomba autocebante de 6 pulgadas, con motor eléctrico, con estructura de montaje y tablero eléctrico con protección, para utilizar en la planta de tratamiento de Aguas Residuales PTAR - C"/>
    <n v="100000000"/>
    <m/>
    <s v="900-IPU-0188-2022"/>
    <m/>
    <n v="202202405"/>
    <m/>
    <s v="N/A"/>
    <s v="N/A"/>
    <s v="Menor cuantia"/>
    <x v="0"/>
    <s v="HAROLD MONDRAGON"/>
    <d v="2022-03-01T00:00:00"/>
    <e v="#REF!"/>
    <e v="#REF!"/>
    <s v="SI"/>
    <s v="Entregado al area"/>
    <x v="1"/>
    <s v="31 DE MARZO PUBLICADO_x000a_5 de abril en respuesta a observaciones hasta el 6 de abril_x000a_19 de abril en recepcion de ofertas_x000a_9 DE MAYO EN ELABORACION DE INFORME DE EVALUACION_x000a_17 de mayo en acta de adjudicacion y firma de la aceptacion_x000a_24 DE MAYO ALA ESPERA DEL RUT DEL CONSORCIO_x000a_9 DE JUNIO SOLICITUD DE POLIZAS_x000a_30 DE JUNIO SOLICITUD DE POLIZAS AL PROVEEDOR"/>
    <m/>
    <d v="2022-06-28T00:00:00"/>
    <x v="9"/>
    <m/>
    <n v="124"/>
    <n v="119"/>
    <x v="0"/>
    <s v="INVERSION"/>
    <x v="111"/>
    <d v="2022-05-18T00:00:00"/>
    <n v="99999999"/>
    <s v="CONSORCIO ETEL ABC"/>
    <n v="202205764"/>
    <n v="1"/>
    <m/>
    <m/>
    <m/>
    <m/>
    <m/>
    <s v="CALI"/>
    <s v="LOCAL"/>
    <m/>
    <n v="1E-8"/>
    <x v="0"/>
    <n v="2"/>
    <n v="97"/>
  </r>
  <r>
    <n v="147"/>
    <s v="0190"/>
    <x v="2"/>
    <d v="2022-03-01T00:00:00"/>
    <x v="3"/>
    <s v="GAA0373"/>
    <s v="FR-300-GAA-0066-2022"/>
    <s v="N/A"/>
    <s v="Suministro, montaje y puesta en marcha de tanques de almacenamiento de ACPM para los equipos electrógenos de las estaciones de bombeo de aguas residuales y lluvias"/>
    <n v="109994080"/>
    <s v="150 dias"/>
    <s v="900-IPU-0190-2022"/>
    <s v="IPU"/>
    <n v="202201829"/>
    <n v="110000000"/>
    <s v="N/A"/>
    <s v="N/A"/>
    <s v="Menor cuantia"/>
    <x v="0"/>
    <s v="ADALBERTO VALENCIA"/>
    <d v="2022-03-01T00:00:00"/>
    <e v="#VALUE!"/>
    <e v="#VALUE!"/>
    <s v="NO"/>
    <s v="Cerrado"/>
    <x v="0"/>
    <m/>
    <s v="31 de marzo en inteligencia de mercado_x000a_5 de abril en inteligencia de mercado_x000a_19 de abril en espera de la inteligencia par afirma de la doctora sandra_x000a_5 de mayo en repusta a observaciones_x000a_17 de mayo en revision de los subsanables_x000a_24 DE MAYO EL PROVEEDOR NO CUMPLE"/>
    <d v="2022-05-24T00:00:00"/>
    <x v="5"/>
    <s v="may"/>
    <n v="84"/>
    <n v="84"/>
    <x v="2"/>
    <s v="INVERSION"/>
    <x v="0"/>
    <m/>
    <m/>
    <m/>
    <m/>
    <m/>
    <n v="109994080"/>
    <m/>
    <m/>
    <m/>
    <m/>
    <m/>
    <m/>
    <m/>
    <m/>
    <x v="0"/>
    <m/>
    <m/>
  </r>
  <r>
    <n v="148"/>
    <s v="0191"/>
    <x v="2"/>
    <d v="2022-03-01T00:00:00"/>
    <x v="3"/>
    <s v="GAA0380"/>
    <s v="FR-300-GAA-0067-2022"/>
    <s v="N/A"/>
    <s v="Mantenimiento a equipos electrógenos marca CUMMINS pertenecientes a las estaciones de bombeo de aguas lluvias y/o residuales"/>
    <n v="149539291"/>
    <m/>
    <s v="900-IPU-0191-2022"/>
    <s v="IPU"/>
    <n v="202201834"/>
    <n v="149539291"/>
    <s v="N/A"/>
    <s v="N/A"/>
    <s v="Menor cuantia"/>
    <x v="0"/>
    <s v="CRISTHIAN BURBANO"/>
    <d v="2022-03-01T00:00:00"/>
    <e v="#VALUE!"/>
    <e v="#VALUE!"/>
    <s v="NO"/>
    <s v="Cerrado"/>
    <x v="0"/>
    <m/>
    <s v="23 de marzo en inteligencia de mercado_x000a_31 DE MARZO EN INTELIGENCIA_x000a_5 de abril en inteligencia de mercado_x000a_19 de abril en inteligencia de mercado_x000a_4 de mayo publicado_x000a_17 de mayo en recepcion de ofertas_x000a_24 DE MAYO SE CIERRA PORQUE LOS QUE SE PRESENTARON NO ESTAB EN REGISTRO DE PROVEEDORES"/>
    <d v="2022-05-24T00:00:00"/>
    <x v="5"/>
    <s v="may"/>
    <n v="84"/>
    <n v="84"/>
    <x v="3"/>
    <s v="FUNCIONAMIENTO"/>
    <x v="0"/>
    <m/>
    <m/>
    <m/>
    <m/>
    <m/>
    <n v="149539291"/>
    <m/>
    <m/>
    <m/>
    <m/>
    <m/>
    <m/>
    <m/>
    <m/>
    <x v="0"/>
    <m/>
    <m/>
  </r>
  <r>
    <n v="149"/>
    <s v="0192"/>
    <x v="6"/>
    <d v="2022-03-01T00:00:00"/>
    <x v="3"/>
    <s v="GTI0041_x000a_GTI0086"/>
    <s v="FR-200-GTI-0094-2022"/>
    <s v="N/A"/>
    <s v="Prestar servicios profesionales especializados en tecnologías de la información y las comunicaciones, para realizar levantamiento de requerimientos, ejecutar análisis, diseño, desarrollo, pruebas, soporte de nivel 2 y mantenimiento del aplicativo Open Smart Flex, incluyendo el servicio de capacitación a áreas funcionales, transferencia de conocimiento a áreas técnicas de sistemas . con la respectiva documentación técnica y funcional"/>
    <n v="445000000"/>
    <s v="3 MESES"/>
    <s v="900-IPU-0192-2022"/>
    <m/>
    <n v="202202133"/>
    <n v="445000000"/>
    <s v="N/A"/>
    <s v="N/A"/>
    <s v="Menor cuantia"/>
    <x v="0"/>
    <s v="PABLO CAICEDO"/>
    <d v="2022-03-10T00:00:00"/>
    <n v="93"/>
    <n v="84"/>
    <s v="SI"/>
    <s v="Entregado al area"/>
    <x v="1"/>
    <s v="31 de marzo en respuesta a observaciones_x000a_20 DE ABRIL EN SOLICITUD DE SUBSANABLES_x000a_5 DE MAYO EN ESPERA DE LAS POLIZAS_x000a_16 DE MAYO ENTREGADO AL AREA"/>
    <m/>
    <d v="2022-05-16T00:00:00"/>
    <x v="8"/>
    <m/>
    <n v="76"/>
    <n v="67"/>
    <x v="0"/>
    <s v="FUNCIONAMIENTO"/>
    <x v="112"/>
    <d v="2022-05-10T00:00:00"/>
    <n v="418285000"/>
    <s v="OPTIMA CONSULTING SAS"/>
    <m/>
    <n v="26715000"/>
    <m/>
    <m/>
    <s v="N/A"/>
    <s v="N/A"/>
    <m/>
    <s v="CALI"/>
    <s v="LOCAL"/>
    <m/>
    <n v="6.003370786516854E-2"/>
    <x v="1"/>
    <n v="2"/>
    <n v="76"/>
  </r>
  <r>
    <n v="150"/>
    <s v="0193"/>
    <x v="6"/>
    <d v="2022-03-01T00:00:00"/>
    <x v="3"/>
    <s v="GTI0111"/>
    <s v="FR-200-GTI-0068-2022"/>
    <s v="N/A"/>
    <s v="Servicio de soporte y mantenimiento preventivo y correctivo del aplicativo del software de gestión para mantenimiento de Flota Vehicular - ROMA"/>
    <n v="30000000"/>
    <m/>
    <s v="900-IPU-0193-2022"/>
    <s v="IPU"/>
    <n v="202201914"/>
    <n v="30000000"/>
    <s v="N/A"/>
    <s v="N/A"/>
    <s v="Menor cuantia"/>
    <x v="0"/>
    <s v="CRISTHIAN BURBANO"/>
    <d v="2022-03-02T00:00:00"/>
    <e v="#VALUE!"/>
    <e v="#VALUE!"/>
    <s v="NO"/>
    <s v="Cerrado"/>
    <x v="0"/>
    <m/>
    <s v="23 de marzo publicado_x000a_31 DE MARZO CERRADO PORQUE NO SE PRESENTO NINGUN OFERENTE"/>
    <d v="2022-03-31T00:00:00"/>
    <x v="5"/>
    <s v="mar"/>
    <n v="30"/>
    <n v="29"/>
    <x v="3"/>
    <s v="FUNCIONAMIENTO"/>
    <x v="0"/>
    <m/>
    <m/>
    <m/>
    <m/>
    <m/>
    <e v="#VALUE!"/>
    <m/>
    <m/>
    <m/>
    <m/>
    <m/>
    <m/>
    <m/>
    <m/>
    <x v="1"/>
    <m/>
    <m/>
  </r>
  <r>
    <n v="151"/>
    <s v="0194"/>
    <x v="6"/>
    <d v="2022-03-01T00:00:00"/>
    <x v="3"/>
    <s v="GTI0002"/>
    <s v="FR-200-GTI-0093-2022"/>
    <s v="N/A"/>
    <s v="EMCALI encarga al LICENCIANTE y este se obliga a ejecutar para aquel, las prestaciones de carácter informático que aplican respecto del software licenciado &quot;Open SmartFlex&quot; las cuales son: (i) Soporte, (ii) Actualización de nuevas versiones y (iii) Mantenimiento (SAM), de las licencias del aplicativo comercial Open SmartFlex, para gestionar un millón ochocientos cuarenta y cinco mil (1.845.000) de servicios suscritos de los suscriptores de EMCALI en cualquiera de las lineas de negocio de Telecomunicaciones, Energía y Acueducto y Alcantarillado. Además de Doscientas treinta mil (230.000) servicios suscritos por terceros y para gestionar la facturación de Larga Distancia de Telecomunicaciones de EMCALI sin ningun limite"/>
    <n v="2315471332"/>
    <s v="6 meses"/>
    <s v="900-IPU-0194-2022"/>
    <m/>
    <n v="202202670"/>
    <n v="2315471332"/>
    <s v="N/A"/>
    <s v="N/A"/>
    <s v="Mayor cuantia"/>
    <x v="0"/>
    <s v="PABLO CAICEDO"/>
    <d v="2022-03-02T00:00:00"/>
    <n v="93"/>
    <n v="92"/>
    <s v="SI"/>
    <s v="Entregado al area"/>
    <x v="1"/>
    <s v="31 de marzo listo para legalizar al area_x000a_1 DE ABRIL ENTREGADO AL AREA"/>
    <m/>
    <d v="2022-04-01T00:00:00"/>
    <x v="8"/>
    <m/>
    <n v="31"/>
    <n v="30"/>
    <x v="0"/>
    <s v="FUNCIONAMIENTO"/>
    <x v="113"/>
    <d v="2022-03-29T00:00:00"/>
    <n v="2315471332"/>
    <s v="OPEN INTERNATIONAL SAS"/>
    <m/>
    <n v="0"/>
    <m/>
    <m/>
    <s v="N/A"/>
    <s v="N/A"/>
    <m/>
    <s v="CALI"/>
    <s v="LOCAL"/>
    <m/>
    <n v="0"/>
    <x v="1"/>
    <n v="2"/>
    <n v="31"/>
  </r>
  <r>
    <n v="152"/>
    <s v="0195"/>
    <x v="6"/>
    <d v="2022-03-01T00:00:00"/>
    <x v="3"/>
    <s v="GTI0020_x000a_GTI0084"/>
    <s v="FR-200-GTI-0085-2022"/>
    <s v="N/A"/>
    <s v="Prestar servicios profesionales especializados en tecnologías de la información y las comunicaciones, ejecutar actividades de análisis, diagnostico y solución de incidentes y problemas, soporte de nival 1, 2 y 3 mantenimiento y soporte de aplicativos e integraciones a las plataformas (Liferay, Websphere y Oracle) que soportan el portal e Intranet Corporativos, incluyendo el servicio de capacitación a áreas funcionales, transferencia de conocimiento a áreas técnicas de sistemas, con la respectiva documentación técnica y funcional para los servicios de soporte y/o mantenimiento"/>
    <n v="230000000"/>
    <s v="31 de diciembre 2022"/>
    <s v="900-IPU-0195-2022"/>
    <m/>
    <n v="202202786"/>
    <n v="230000000"/>
    <s v="N/A"/>
    <s v="N/A"/>
    <s v="Menor cuantia"/>
    <x v="0"/>
    <s v="PABLO CAICEDO"/>
    <d v="2022-03-10T00:00:00"/>
    <n v="93"/>
    <n v="84"/>
    <s v="SI"/>
    <s v="Entregado al area"/>
    <x v="1"/>
    <s v="31 de marzo en espera de recepcion de ofertas el 5 de abril_x000a_20 DE ABRIL EN EVALIACION SOBRE 1_x000a_entregado al area_x000a_11 DE MAYO ENTREGADO AL AREA"/>
    <m/>
    <d v="2022-05-11T00:00:00"/>
    <x v="8"/>
    <m/>
    <n v="71"/>
    <n v="62"/>
    <x v="0"/>
    <s v="FUNCIONAMIENTO"/>
    <x v="114"/>
    <d v="2022-05-03T00:00:00"/>
    <n v="213409840"/>
    <s v="VIVENTI SAS"/>
    <m/>
    <n v="16590160"/>
    <m/>
    <m/>
    <s v="N/A"/>
    <s v="N/A"/>
    <m/>
    <s v="CALI"/>
    <s v="LOCAL"/>
    <m/>
    <n v="7.2131130434782614E-2"/>
    <x v="1"/>
    <n v="2"/>
    <n v="71"/>
  </r>
  <r>
    <n v="153"/>
    <s v="0196"/>
    <x v="2"/>
    <d v="2022-03-01T00:00:00"/>
    <x v="3"/>
    <s v="GAA0348_x000a_GAA0349"/>
    <s v="FR-300-GAA-0045-2022_x000a_FR-300-GAA-0040-2022"/>
    <s v="N/A"/>
    <s v="Suministro de rejillas concreto reforzado para el mantenimiento de las redes de alcantarillado operadas por EMCALI + Suministro de rejillas para sumideros en polimero de 8 huecos"/>
    <n v="304203270"/>
    <s v="6 MESES"/>
    <s v="900-IPU-0196-2022"/>
    <m/>
    <s v="202201930_x000a_202201931"/>
    <m/>
    <s v="N/A"/>
    <s v="N/A"/>
    <s v="Menor cuantia"/>
    <x v="0"/>
    <s v="LINA ECHAVARRIA"/>
    <d v="2022-03-02T00:00:00"/>
    <e v="#REF!"/>
    <e v="#REF!"/>
    <s v="SI"/>
    <s v="Entregado al area"/>
    <x v="1"/>
    <s v="23 de marzo se reciben ofertas el 30 de marzo_x000a_31 de marzo en recepcion de ofertas que se reciben el 6 de abril_x000a_7 de abril en evaluacion sobre 1_x000a_9 DE MAYO EN SOBRE 2_x000a_17 de mayo en adjudicacion del grupo 1 y cierre  grupo 2_x000a_24 DE MAYO EN SOLICITUD DE POLIZAS_x000a_adjudicado grupo 2_x000a_"/>
    <m/>
    <d v="2022-06-01T00:00:00"/>
    <x v="9"/>
    <m/>
    <n v="92"/>
    <n v="91"/>
    <x v="0"/>
    <s v="FUNCIONAMIENTO"/>
    <x v="115"/>
    <d v="2022-05-23T00:00:00"/>
    <n v="304121874"/>
    <s v="IMEVALLE SAS"/>
    <n v="202205486"/>
    <n v="81396"/>
    <m/>
    <m/>
    <m/>
    <m/>
    <m/>
    <s v="YUMBO"/>
    <s v="MUNICIPAL"/>
    <m/>
    <n v="2.6757108823978124E-4"/>
    <x v="0"/>
    <n v="2"/>
    <n v="92"/>
  </r>
  <r>
    <n v="154"/>
    <s v="0197"/>
    <x v="1"/>
    <d v="2022-03-03T00:00:00"/>
    <x v="3"/>
    <s v="GE0303"/>
    <s v="FR-500-GE-0115-2022"/>
    <s v="N/A"/>
    <s v="Calibración de Instrumentos y Equipos de Laboratorio"/>
    <n v="40712800"/>
    <m/>
    <s v="900-IPU-0197-2022"/>
    <s v="IPU"/>
    <n v="202201683"/>
    <m/>
    <s v="N/A"/>
    <s v="N/A"/>
    <s v="Menor cuantia"/>
    <x v="0"/>
    <s v="JUAN DAVID GOMEZ"/>
    <d v="2022-03-03T00:00:00"/>
    <e v="#VALUE!"/>
    <e v="#VALUE!"/>
    <s v="NO"/>
    <s v="Cerrado"/>
    <x v="0"/>
    <m/>
    <s v="23 de marzo en revision por silvia de la fpa e invitacion_x000a_31 DE MAEZO PENDIENTE DE PUBLICAR A ESPERA QUE SE LE ABRA EL ROL AL GESTOR EN L APLATAFORMA_x000a_7 DE ABRIL SE CERRO EL PROCESO POR CAMBIO DE EJECUCION DEL CONTRATO"/>
    <d v="2022-04-07T00:00:00"/>
    <x v="5"/>
    <s v="abr"/>
    <n v="35"/>
    <n v="35"/>
    <x v="2"/>
    <s v="FUNCIONAMIENTO"/>
    <x v="0"/>
    <m/>
    <m/>
    <m/>
    <m/>
    <m/>
    <n v="40712800"/>
    <m/>
    <m/>
    <m/>
    <m/>
    <m/>
    <m/>
    <m/>
    <m/>
    <x v="0"/>
    <m/>
    <m/>
  </r>
  <r>
    <n v="155"/>
    <s v="0198"/>
    <x v="1"/>
    <d v="2022-03-03T00:00:00"/>
    <x v="3"/>
    <s v="GE0304"/>
    <s v="FR-500-GE-0116-2022"/>
    <s v="N/A"/>
    <s v="Calibración de equipos de prueba de medidores - EPM y un patrón Trifásico Multifunción, en la magnitud de energía eléctrica"/>
    <n v="62492850"/>
    <s v="90 dias"/>
    <s v="900-IPU-0198-2022"/>
    <s v="IPU"/>
    <n v="202201684"/>
    <m/>
    <s v="N/A"/>
    <s v="N/A"/>
    <s v="Menor cuantia"/>
    <x v="0"/>
    <s v="HAROLD MONDRAGON"/>
    <d v="2022-03-09T00:00:00"/>
    <e v="#VALUE!"/>
    <e v="#VALUE!"/>
    <s v="NO"/>
    <s v="Cerrado"/>
    <x v="0"/>
    <m/>
    <s v="23 de marzo en elaboracon de fpa e invitacion_x000a_31 DE MARZO PENDIENTE LA FIRMA DEL GERENTE PARA PUBLICAR_x000a_20 de abril se reciben ofertas_x000a_6 DEMAYO SE PUBLICO ACTA DE CIERRE"/>
    <d v="2022-05-06T00:00:00"/>
    <x v="5"/>
    <s v="may"/>
    <n v="64"/>
    <n v="58"/>
    <x v="3"/>
    <s v="FUNCIONAMIENTO"/>
    <x v="0"/>
    <m/>
    <m/>
    <m/>
    <m/>
    <m/>
    <n v="62492850"/>
    <m/>
    <m/>
    <m/>
    <m/>
    <m/>
    <m/>
    <m/>
    <m/>
    <x v="0"/>
    <m/>
    <m/>
  </r>
  <r>
    <n v="156"/>
    <s v="0199"/>
    <x v="1"/>
    <d v="2022-03-04T00:00:00"/>
    <x v="3"/>
    <s v="GE0256"/>
    <s v="FR-500-GE-0128-2022"/>
    <s v="N/A"/>
    <s v="Realizar mediciones ambientales de ruido y de campos electromagnéticos en subestaciones de energía y lineas de Subtransmisión a 115 Kv"/>
    <n v="26610066"/>
    <m/>
    <s v="900-IPU-0199-2022"/>
    <s v="IPU"/>
    <n v="202202106"/>
    <m/>
    <s v="N/A"/>
    <s v="N/A"/>
    <s v="Menor cuantia"/>
    <x v="0"/>
    <s v="DIEGO PATIÑO"/>
    <d v="2022-03-20T00:00:00"/>
    <e v="#VALUE!"/>
    <e v="#VALUE!"/>
    <s v="NO"/>
    <s v="CERRADO PARA TRAMITAR COMO IP "/>
    <x v="0"/>
    <m/>
    <s v="23 de marzo inteligencia de mercado_x000a_31 DE MARZO EN INTELIGENCIA DE MERCADO_x000a_19 DE ABRIL EN INTELIGENCIA DE MERCADO_x000a_5 de mayo en inteligecia de mercado por mario arevalo_x000a_17 de mayo en inteligencia de mercado "/>
    <d v="2022-05-07T00:00:00"/>
    <x v="5"/>
    <s v="may"/>
    <n v="64"/>
    <n v="48"/>
    <x v="3"/>
    <s v="FUNCIONAMIENTO"/>
    <x v="0"/>
    <m/>
    <m/>
    <m/>
    <m/>
    <m/>
    <n v="26610066"/>
    <m/>
    <m/>
    <m/>
    <m/>
    <m/>
    <m/>
    <m/>
    <m/>
    <x v="0"/>
    <m/>
    <m/>
  </r>
  <r>
    <n v="157"/>
    <s v="0200"/>
    <x v="2"/>
    <d v="2022-03-08T00:00:00"/>
    <x v="3"/>
    <s v="GAA0393"/>
    <s v="FR-300-GAA-0071-2022"/>
    <s v="N/A"/>
    <s v="Suministro de equipos y accesorios eléctricos para motores, iluminación y tableros de distribución para el proceso de Tratamiento de la PTAR-C"/>
    <n v="380483205"/>
    <s v="45 dias"/>
    <s v="900-IPU-0200-2022"/>
    <m/>
    <n v="202202453"/>
    <n v="380483205"/>
    <s v="N/A"/>
    <s v="N/A"/>
    <s v="Menor cuantia"/>
    <x v="0"/>
    <s v="HAROLD MONDRAGON"/>
    <d v="2022-03-29T00:00:00"/>
    <n v="190"/>
    <n v="169"/>
    <s v="SI"/>
    <s v="Entregado al area"/>
    <x v="1"/>
    <s v="31 DE MARZO EN ELABORACION DE LA FPA_x000a_5 de Abril en elaboracion de fpa_x000a_20 DE ABRIL EN ELABORACION DE FPA Y CC_x000a_5 DE MAYO EN REVISION Y ACOMODACION DE LOS NUEVOS FORMATOS DE LA FPA_x000a_17 de mayo en recepcion de ofertas se recvoben el 24 de mayo_x000a_25 D EMAYO SE RECIBEN OFERTAS_x000a_9 DE JUNIO EN EVALUACION_x000a_17 DE JUNIO EN EVALUACION 1_x000a_30 DE JUNIO EN EVALUACION SOBRE 2_x000a_18 de julio solicitud de polizas y rp_x000a_1 de agosto en aprobacion de polizas. 5 DE AGOSTO CONTINUA EN APROBACION DE POLIZAS ._x000a_"/>
    <m/>
    <d v="2022-08-08T00:00:00"/>
    <x v="1"/>
    <m/>
    <n v="153"/>
    <n v="132"/>
    <x v="0"/>
    <s v="INVERSION"/>
    <x v="116"/>
    <d v="2022-07-15T00:00:00"/>
    <n v="376737827"/>
    <s v="EPRING SAS"/>
    <n v="202207211"/>
    <n v="3745378"/>
    <m/>
    <m/>
    <m/>
    <m/>
    <m/>
    <s v="CALI"/>
    <s v="LOCAL"/>
    <s v="UNIDAD DE TRATAMIENTO"/>
    <n v="9.8437406718123073E-3"/>
    <x v="0"/>
    <n v="2"/>
    <n v="119"/>
  </r>
  <r>
    <n v="158"/>
    <s v="0201"/>
    <x v="2"/>
    <d v="2022-03-09T00:00:00"/>
    <x v="3"/>
    <s v="GAA0372"/>
    <s v="FR-300-GAA-0070-2022"/>
    <s v="N/A"/>
    <s v="Suministro e instalación de lineas de vida y sus elementos complementarios para las estaciones de bombeo de aguas residuales y lluvias"/>
    <n v="115331786"/>
    <s v="150 DIAS"/>
    <s v="900-IPU-0201-2022"/>
    <m/>
    <n v="202202053"/>
    <n v="115331786"/>
    <s v="N/A"/>
    <s v="N/A"/>
    <s v="Menor cuantia"/>
    <x v="0"/>
    <s v="CRISTHIAN BURBANO"/>
    <d v="2022-03-29T00:00:00"/>
    <n v="189"/>
    <n v="169"/>
    <s v="SI"/>
    <s v="Entregado al area"/>
    <x v="1"/>
    <s v="31 DE MARZO EN SOLICITUD DE CONCEPTOS_x000a_5 de abril en elaboracion de la fpa_x000a_19 DE ABRIL EN REVISION DE LA CC_x000a_4 de mayo publicado_x000a_17 de mayo en recepcion de ofertas_x000a_SE HIZO ACTA DE SANEAMIENTO PARA RECIBIR OFERTAS DE NUEVO_x000a_25 DEMAYO SE RECIBEN OFERTAS_x000a_9 de junio en evaluacion de ofertas_x000a_17 de junio en evaluacion sobre 1_x000a_30 de junio en evaluacion sobre 1_x000a_18 de julio en respuesta a las observaciones de informe de evaluacion"/>
    <m/>
    <d v="2022-08-01T00:00:00"/>
    <x v="1"/>
    <m/>
    <n v="145"/>
    <n v="125"/>
    <x v="0"/>
    <s v="FUNCIONAMIENTO"/>
    <x v="117"/>
    <d v="2022-07-19T00:00:00"/>
    <n v="109938905"/>
    <s v="INGENIERIA  Y REPRESENTACIONES SAS"/>
    <n v="202207206"/>
    <n v="5392881"/>
    <m/>
    <m/>
    <m/>
    <m/>
    <m/>
    <s v="CALI"/>
    <s v="LOCAL"/>
    <s v="UNIDAD DE BOMBEO"/>
    <n v="4.675971115196291E-2"/>
    <x v="0"/>
    <n v="2"/>
    <n v="138"/>
  </r>
  <r>
    <n v="159"/>
    <s v="0202"/>
    <x v="2"/>
    <d v="2022-03-11T00:00:00"/>
    <x v="3"/>
    <s v="GAA0272"/>
    <s v="FR-300-GAA-0068-2022"/>
    <s v="300-CMA-1974-2021"/>
    <s v="Suministro de hidrantes para la Unidad de Distribucción"/>
    <n v="108727408"/>
    <m/>
    <s v="N/A"/>
    <m/>
    <n v="202202570"/>
    <m/>
    <s v="N/A"/>
    <s v="N/A"/>
    <s v="N/A"/>
    <x v="1"/>
    <s v="LUCY ARBELAEZ"/>
    <d v="2022-03-30T00:00:00"/>
    <e v="#REF!"/>
    <e v="#REF!"/>
    <s v="SI"/>
    <s v="Entregado al area"/>
    <x v="1"/>
    <s v="31 DE MARZO ADELANTANDO OTRO SI PARA AJUSTE DE PRECIOS_x000a_20 DE ABRIL ESPERANDO OTRO SI_x000a_17 de mayo en evaluacion de ofertas_x000a_23 DE MAYO EN ELABORACION DE LA ACEPTAC ION DE LA OFERTA"/>
    <m/>
    <d v="2022-06-09T00:00:00"/>
    <x v="9"/>
    <m/>
    <n v="90"/>
    <n v="71"/>
    <x v="0"/>
    <s v="FUNCIONAMIENTO"/>
    <x v="118"/>
    <d v="2022-05-26T00:00:00"/>
    <n v="108727408"/>
    <s v="EQUIPOS Y HERRAMIENTAS INDUSTRIALES SAS"/>
    <n v="202205626"/>
    <n v="0"/>
    <m/>
    <m/>
    <m/>
    <m/>
    <m/>
    <s v="CALI"/>
    <s v="LOCAL"/>
    <m/>
    <n v="0"/>
    <x v="0"/>
    <n v="0"/>
    <n v="90"/>
  </r>
  <r>
    <n v="160"/>
    <s v="0203"/>
    <x v="2"/>
    <d v="2022-03-11T00:00:00"/>
    <x v="3"/>
    <s v="GAA0379"/>
    <s v="FR-300-GAA-0074-2022"/>
    <s v="N/A"/>
    <s v="Mantenimiento a equipos de instrumentación y actuadores de todas las estaciones de bombeo de aguas lluvias y residuales, incluido plan de calibración de equipos"/>
    <n v="299958071"/>
    <s v="120 DIAS"/>
    <s v="900-IPU-0203-2022"/>
    <m/>
    <n v="202201833"/>
    <n v="300000000"/>
    <s v="N/A"/>
    <s v="N/A"/>
    <s v="Menor cuantia"/>
    <x v="0"/>
    <s v="HAROLD MONDRAGON"/>
    <d v="2022-03-29T00:00:00"/>
    <n v="-44631"/>
    <n v="-44649"/>
    <s v="SI"/>
    <s v="Entregado al area"/>
    <x v="1"/>
    <s v="31 DE MARZO EN ELABORACION DE LA FPA_x000a_5 de Abril en elaboracion de fpa_x000a_20 DE ABRIL EN ELABORACION DE FPA Y CC_x000a_5 DE MAYO EN ELBORACION DE LA FPA ESPERANDO INFORMACION DEL AREA_x000a_17 de mayo en recepcion de observaciones_x000a_26 DE MAYO SE RECIEN OFERTAS_x000a_9 DE JUNIO EN EVALUACION_x000a_17 DE JUNIO EN EVALUACION1_x000a_18 de julio solicitud de polizas y rp_x000a_30 DE JUNIO EN EVALUACION SOBRE 2"/>
    <m/>
    <d v="2022-07-27T00:00:00"/>
    <x v="10"/>
    <m/>
    <n v="138"/>
    <n v="120"/>
    <x v="0"/>
    <s v="FUNCIONAMIENTO"/>
    <x v="119"/>
    <d v="2022-07-15T00:00:00"/>
    <n v="299906870"/>
    <s v="SAUFER SOLUCIONES SA"/>
    <n v="202207213"/>
    <n v="51201"/>
    <m/>
    <m/>
    <m/>
    <m/>
    <m/>
    <s v="BOGOTA"/>
    <s v="NACIONAL"/>
    <s v="UNIDAD DE BOMBEO"/>
    <n v="1.7069385674239784E-4"/>
    <x v="0"/>
    <n v="2"/>
    <n v="103"/>
  </r>
  <r>
    <n v="161"/>
    <s v="0204"/>
    <x v="2"/>
    <d v="2022-03-11T00:00:00"/>
    <x v="3"/>
    <s v="GAA0387"/>
    <s v="FR-300-GAA-0075-2022"/>
    <s v="N/A"/>
    <s v="Suministro de lubricantes para todas las estaciones de bombeo de aguas lluvias y/o residuales"/>
    <n v="52771303"/>
    <m/>
    <s v="900-IPU-0204-2022"/>
    <s v="IPU"/>
    <n v="202201835"/>
    <m/>
    <s v="N/A"/>
    <s v="N/A"/>
    <s v="Menor cuantia"/>
    <x v="0"/>
    <s v="JULIO GARCIA"/>
    <d v="2022-03-24T00:00:00"/>
    <e v="#VALUE!"/>
    <e v="#VALUE!"/>
    <s v="NO"/>
    <s v="Cerrado"/>
    <x v="0"/>
    <m/>
    <s v="31 de marzo en elaboracion de fpay cc_x000a_20 DE ABRIL EN INTELIGENCIA DE MERCADO_x000a_5 DE MAYO EN INTELIGENCIA DE MERCADO_x000a_17 de mayo en revision de la fpa y cc_x000a_24 DE MAYO EN RECEPCION DE OBSERVACIONES_x000a_8 de junio en evaluacion sobre1_x000a_30 de junio acta de cierre"/>
    <d v="2022-06-30T00:00:00"/>
    <x v="5"/>
    <s v="jun"/>
    <n v="111"/>
    <n v="98"/>
    <x v="3"/>
    <s v="FUNCIONAMIENTO"/>
    <x v="0"/>
    <m/>
    <m/>
    <m/>
    <m/>
    <m/>
    <e v="#VALUE!"/>
    <m/>
    <m/>
    <m/>
    <m/>
    <m/>
    <m/>
    <m/>
    <m/>
    <x v="0"/>
    <m/>
    <m/>
  </r>
  <r>
    <n v="162"/>
    <s v="0205"/>
    <x v="2"/>
    <d v="2022-03-14T00:00:00"/>
    <x v="3"/>
    <s v="GAA0278_x000a_GAA0279"/>
    <s v="FR-300-GAA-0069-2022"/>
    <s v="N/A"/>
    <s v="Reposición de válvulas críticas e hidrantes para optimización de cierres, reducción de pérdidas y mejoramiento hidráulico de la red de EMCALI EICE ESP. Incluye suministro e instalación de válvulas y de los diferentes accesorios necesarios para el cumplimiento de esta labor"/>
    <n v="1907999706"/>
    <m/>
    <s v="900-IPU-0205-2022"/>
    <s v="IPU"/>
    <n v="202202568"/>
    <m/>
    <s v="N/A"/>
    <s v="N/A"/>
    <s v="Mayor cuantia"/>
    <x v="0"/>
    <s v="SIN ASIGNAR"/>
    <m/>
    <e v="#VALUE!"/>
    <e v="#VALUE!"/>
    <s v="NO"/>
    <s v="Devuelto"/>
    <x v="2"/>
    <m/>
    <s v="DEVUELTO EL 23 DE MARZO 2022 POR SOLICITUD DEL AREA"/>
    <d v="2022-03-23T00:00:00"/>
    <x v="5"/>
    <s v="mar"/>
    <n v="9"/>
    <n v="44643"/>
    <x v="3"/>
    <s v="INVERSION"/>
    <x v="0"/>
    <m/>
    <m/>
    <m/>
    <m/>
    <e v="#VALUE!"/>
    <m/>
    <m/>
    <m/>
    <m/>
    <m/>
    <m/>
    <m/>
    <m/>
    <m/>
    <x v="0"/>
    <m/>
    <m/>
  </r>
  <r>
    <n v="163"/>
    <s v="0206"/>
    <x v="2"/>
    <d v="2022-03-14T00:00:00"/>
    <x v="3"/>
    <s v="GAA0377"/>
    <s v="FR-300-GAA-0073-2022"/>
    <s v="N/A"/>
    <s v="Mantenimiento eléctrico a equipos y a variadores de velocidad marca ABB, HYUNDAY, DANFOSS Y arrancadores suaves de varias marcas pertenecientes a las estaciones de bombeo de aguas lluvias y/o residuales"/>
    <n v="799299200"/>
    <s v="120 DIAS"/>
    <s v="900-IPU-0206-2022"/>
    <m/>
    <n v="202201831"/>
    <m/>
    <s v="N/A"/>
    <s v="N/A"/>
    <s v="Mayor cuantia"/>
    <x v="0"/>
    <s v="HAROLD MONDRAGON"/>
    <d v="2022-03-29T00:00:00"/>
    <n v="184"/>
    <n v="169"/>
    <s v="SI"/>
    <s v="Entregado al area"/>
    <x v="1"/>
    <s v="31 DE MARZO EN ELABORACION DE LA FPA_x000a_5 de Abril en elaboracion de fpa_x000a_20 DE ABRIL EN ELABORACION DE FPA Y CC_x000a_5 DE MAYO EN ELBORACION DE LA FPA ESPERANDO INFORMACION DEL AREA_x000a_17 de mayo en recepcion de ofertas_x000a_9 DE JUNIO EN EVALUACION_x000a_26 DE MAYO SE RECIBEN OFERTAS_x000a_30 de junio en evaluacion sobre 1_x000a_18 de julio publicacion del informe de evaluacion_x000a_1 de agosto en adjudicacion. 5 DE AGOSTO EN ESPERA DE LA CITA DE LA DIAN Y EL RUT"/>
    <m/>
    <d v="2022-08-24T00:00:00"/>
    <x v="1"/>
    <m/>
    <n v="163"/>
    <n v="148"/>
    <x v="0"/>
    <s v="FUNCIONAMIENTO"/>
    <x v="120"/>
    <d v="2022-07-22T00:00:00"/>
    <n v="794168337"/>
    <s v="UNION TEMPORAL MANTENIMIENTO  EBAR 2022"/>
    <n v="202207840"/>
    <n v="5130863"/>
    <m/>
    <m/>
    <m/>
    <m/>
    <m/>
    <s v="CALI"/>
    <s v="LOCAL"/>
    <s v="UNIDAD DE BOMBEO"/>
    <n v="6.4192019709265313E-3"/>
    <x v="0"/>
    <n v="2"/>
    <n v="129"/>
  </r>
  <r>
    <n v="164"/>
    <s v="0207"/>
    <x v="2"/>
    <d v="2022-03-14T00:00:00"/>
    <x v="3"/>
    <s v="GAA0394"/>
    <s v="FR-300-GAA-0076-2022"/>
    <s v="N/A"/>
    <s v="Suministro de equipos y elementos para la medición de variables para el proceso de tratamiento de la PTAR-C"/>
    <n v="207605670"/>
    <m/>
    <s v="900-IPU-0207-2022"/>
    <s v="IPU"/>
    <n v="202202669"/>
    <m/>
    <s v="N/A"/>
    <s v="N/A"/>
    <s v="Menor cuantia"/>
    <x v="0"/>
    <s v="JULIO GARCIA"/>
    <d v="2022-03-29T00:00:00"/>
    <e v="#VALUE!"/>
    <e v="#VALUE!"/>
    <s v="NO"/>
    <s v="CERRADO PARA TRAMITAR COMO IP "/>
    <x v="0"/>
    <m/>
    <s v="31 DE MARZO EN SOLICITUD DE CONCEPTOS_x000a_5 de abril en elaboracion de la fpa_x000a_20 DE ABRIL EN INTELIGENCIA DE MERCADO_x000a_5 DE MAYO EN INTELIGENCIA DE MERCADO_x000a_17 de mayo en inteligencia de mercado_x000a_24 DEMAYO EN INTELIGENCIA DE MERCADO_x000a_8 DE JUNIO SE CIERRA PARA DARLE TRAMITE COMO IP DESPUES DE QUE FINALICE LA LEY DE GARANTIAS"/>
    <d v="2022-06-08T00:00:00"/>
    <x v="5"/>
    <s v="jun"/>
    <n v="86"/>
    <n v="71"/>
    <x v="3"/>
    <s v="INVERSION"/>
    <x v="0"/>
    <m/>
    <m/>
    <m/>
    <m/>
    <m/>
    <e v="#VALUE!"/>
    <m/>
    <m/>
    <m/>
    <m/>
    <m/>
    <m/>
    <m/>
    <m/>
    <x v="0"/>
    <m/>
    <m/>
  </r>
  <r>
    <n v="165"/>
    <s v="0208"/>
    <x v="2"/>
    <d v="2022-03-15T00:00:00"/>
    <x v="3"/>
    <s v="GAA0652"/>
    <s v="FR-300-GAA-0078-2022"/>
    <s v="300-CMA-1243-2020"/>
    <s v="Suministro de Cloro, para ser utilizado en el tratamiento de agua potable para consumo humano"/>
    <n v="1451921415"/>
    <s v="90 dias"/>
    <s v="N/A"/>
    <m/>
    <n v="202202688"/>
    <n v="11870525408"/>
    <s v="N/A"/>
    <s v="N/A"/>
    <s v="N/A"/>
    <x v="1"/>
    <s v="LUCY ARBELAEZ"/>
    <d v="2022-03-15T00:00:00"/>
    <n v="79"/>
    <n v="79"/>
    <s v="SI"/>
    <s v="Entregado al area"/>
    <x v="1"/>
    <s v="31 DE MARZO EN APROBACION DE GARANTIAS_x000a_7 de abril entregado al area"/>
    <m/>
    <d v="2022-04-07T00:00:00"/>
    <x v="8"/>
    <m/>
    <n v="23"/>
    <n v="23"/>
    <x v="0"/>
    <s v="FUNCIONAMIENTO"/>
    <x v="121"/>
    <d v="2022-03-29T00:00:00"/>
    <n v="1451111417"/>
    <s v="QUIMPAC DE COLOMBIA SA"/>
    <m/>
    <n v="809998"/>
    <m/>
    <m/>
    <s v="2022-107"/>
    <d v="2022-03-08T00:00:00"/>
    <m/>
    <s v="YUMBO"/>
    <s v="MUNICIPAL"/>
    <m/>
    <n v="5.5788005578800558E-4"/>
    <x v="0"/>
    <n v="0"/>
    <n v="23"/>
  </r>
  <r>
    <n v="166"/>
    <s v="0209"/>
    <x v="2"/>
    <d v="2022-03-15T00:00:00"/>
    <x v="3"/>
    <s v="GAA0654"/>
    <s v="FR-300-GAA-0079-2022"/>
    <s v="300-CMA-1246-2020"/>
    <s v="Suministro de Coagulante para las plantas Río Cauca, Río Cali, La Reforma y La Rivera: Hidroxicloruro de Aluminio."/>
    <n v="1010081985"/>
    <s v="90 dias"/>
    <s v="N/A"/>
    <m/>
    <n v="202202688"/>
    <n v="1166236926"/>
    <s v="N/A"/>
    <s v="N/A"/>
    <s v="N/A"/>
    <x v="1"/>
    <s v="LUCY ARBELAEZ"/>
    <d v="2022-03-15T00:00:00"/>
    <n v="79"/>
    <n v="79"/>
    <s v="SI"/>
    <s v="Entregado al area"/>
    <x v="1"/>
    <s v="31 DE MARZO EN EVALUACION_x000a_20 DE ABRIL ENTREGADO AL AREA"/>
    <m/>
    <d v="2022-04-20T00:00:00"/>
    <x v="8"/>
    <m/>
    <n v="36"/>
    <n v="36"/>
    <x v="0"/>
    <s v="FUNCIONAMIENTO"/>
    <x v="122"/>
    <d v="2022-04-07T00:00:00"/>
    <n v="980029959"/>
    <s v="QUIMPAC DE COLOMBIA SA"/>
    <m/>
    <n v="30052026"/>
    <m/>
    <m/>
    <s v="2022-105"/>
    <d v="2022-03-08T00:00:00"/>
    <m/>
    <s v="YUMBO"/>
    <s v="MUNICIPAL"/>
    <m/>
    <n v="2.9752066115702479E-2"/>
    <x v="0"/>
    <n v="0"/>
    <n v="36"/>
  </r>
  <r>
    <n v="167"/>
    <s v="0210"/>
    <x v="2"/>
    <d v="2022-03-15T00:00:00"/>
    <x v="3"/>
    <s v="GAA0653"/>
    <s v="FR-300-GAA-0080-2022"/>
    <s v="300-CMA-1245-2020"/>
    <s v="Suministro de Coagulante para ser utilizado en el tratamiento de Agua Potable para consumo humano"/>
    <n v="2781245550"/>
    <s v="90 dias"/>
    <s v="N/A"/>
    <m/>
    <n v="202202688"/>
    <n v="2144676418"/>
    <s v="N/A"/>
    <s v="N/A"/>
    <s v="N/A"/>
    <x v="1"/>
    <s v="LUCY ARBELAEZ"/>
    <d v="2022-03-15T00:00:00"/>
    <n v="79"/>
    <n v="79"/>
    <s v="SI"/>
    <s v="Entregado al area"/>
    <x v="1"/>
    <s v="31 DE MARZO EN EVALUACION"/>
    <m/>
    <d v="2022-04-20T00:00:00"/>
    <x v="8"/>
    <m/>
    <n v="36"/>
    <n v="36"/>
    <x v="0"/>
    <s v="FUNCIONAMIENTO"/>
    <x v="123"/>
    <d v="2022-04-07T00:00:00"/>
    <n v="1802080450"/>
    <s v="QUIMPAC DE COLOMBIA SA"/>
    <m/>
    <n v="979165100"/>
    <m/>
    <m/>
    <s v="N/A"/>
    <s v="N/A"/>
    <m/>
    <s v="YUMBO"/>
    <s v="MUNICIPAL"/>
    <m/>
    <n v="0.35205992509363299"/>
    <x v="0"/>
    <n v="0"/>
    <n v="36"/>
  </r>
  <r>
    <n v="168"/>
    <s v="0211"/>
    <x v="2"/>
    <d v="2022-03-15T00:00:00"/>
    <x v="3"/>
    <s v="GAA0655"/>
    <s v="FR-300-GAA-0081-2022"/>
    <s v="300-CMA-1241-2020"/>
    <s v="Suministro de Adsorbente para las plantas de tratamiento de Agua Potable Puerto Mallarino, Río Cauca y Río Cali: Carbón Activado"/>
    <n v="350345939"/>
    <s v="16 DE JULIO 2022"/>
    <s v="N/A"/>
    <m/>
    <n v="202202688"/>
    <m/>
    <s v="N/A"/>
    <s v="N/A"/>
    <s v="N/A"/>
    <x v="1"/>
    <s v="CENELIA CRUZ"/>
    <d v="2022-03-15T00:00:00"/>
    <n v="79"/>
    <n v="79"/>
    <s v="SI"/>
    <s v="Entregado al area"/>
    <x v="1"/>
    <s v="31 de marzo en aceptacion de la oferta_x000a_5 de abril en rp_x000a_19 en abril en espera de las polizas por parte del proveedor_x000a_03 DE MAYO ENTREGADO AL AREA"/>
    <m/>
    <d v="2022-05-03T00:00:00"/>
    <x v="8"/>
    <m/>
    <n v="49"/>
    <n v="49"/>
    <x v="0"/>
    <s v="FUNCIONAMIENTO"/>
    <x v="124"/>
    <d v="2022-04-04T00:00:00"/>
    <n v="349951849"/>
    <s v="SULFOQUIMICA SA"/>
    <m/>
    <n v="394090"/>
    <m/>
    <m/>
    <m/>
    <m/>
    <m/>
    <s v="ITAGUI"/>
    <s v="NACIONAL"/>
    <m/>
    <n v="1.1248596205363751E-3"/>
    <x v="0"/>
    <n v="0"/>
    <n v="49"/>
  </r>
  <r>
    <n v="169"/>
    <s v="0212"/>
    <x v="2"/>
    <d v="2022-03-15T00:00:00"/>
    <x v="3"/>
    <s v="GAA0219"/>
    <s v="FR-300-GAA-0082-2022"/>
    <s v="CMA-1246-2020"/>
    <s v="Suministro de Hipoclorito de Calcio para ser utilizado en el tratamiento de Agua Potable para consumo humano"/>
    <n v="13554576"/>
    <m/>
    <s v="N/A"/>
    <m/>
    <n v="202200896"/>
    <m/>
    <s v="N/A"/>
    <s v="N/A"/>
    <s v="Menor cuantia"/>
    <x v="1"/>
    <s v="LINA ECHAVARRIA"/>
    <d v="2022-03-24T00:00:00"/>
    <n v="-44635"/>
    <n v="-44644"/>
    <s v="SI"/>
    <s v="Entregado al area"/>
    <x v="1"/>
    <s v="5 de abril en solicitud de conceptos_x000a_20 de abril en revision de la fpa y cc_x000a_11 DE MAYO CERRADO_x000a_Se tramito como el contrato marco"/>
    <m/>
    <d v="2022-06-29T00:00:00"/>
    <x v="10"/>
    <m/>
    <n v="106"/>
    <n v="97"/>
    <x v="0"/>
    <s v="FUNCIONAMIENTO"/>
    <x v="125"/>
    <d v="2022-06-13T00:00:00"/>
    <n v="11067000"/>
    <s v="QUIMPAC DE COLOMBIA SA"/>
    <n v="202205765"/>
    <n v="2487576"/>
    <m/>
    <m/>
    <m/>
    <m/>
    <m/>
    <s v="YUMBO"/>
    <s v="MUNICIPAL"/>
    <s v="UNIDAD DE PRODUCCIÓN AGUA POTABLE"/>
    <n v="0.18352296670880741"/>
    <x v="0"/>
    <n v="0"/>
    <n v="106"/>
  </r>
  <r>
    <n v="170"/>
    <s v="0213"/>
    <x v="5"/>
    <d v="2022-03-15T00:00:00"/>
    <x v="3"/>
    <s v="GHA0218_x000a_GHA0219"/>
    <s v="FR-800-GAGHA-0132-2022"/>
    <s v="N/A"/>
    <s v="Realizar la compra de dos (2) camperos/Suv 4x4, 3 o 5 puertas, incluyendo el servicio de diez (10) mantenimientos preventivos para cada vehículo, con las adecuaciones requeridas por EMCALI EICE ESP"/>
    <n v="226560000"/>
    <m/>
    <s v="900-IPU-0213-2022"/>
    <s v="IPU"/>
    <s v="202201759_x000a_202202081"/>
    <m/>
    <s v="N/A"/>
    <s v="N/A"/>
    <s v="Menor cuantia"/>
    <x v="0"/>
    <s v="LEIDY DIANA FRANCO"/>
    <d v="2022-03-24T00:00:00"/>
    <e v="#VALUE!"/>
    <e v="#VALUE!"/>
    <s v="NO"/>
    <s v="Cerrado"/>
    <x v="0"/>
    <m/>
    <s v="31 de marzo en inteligencia de mercado_x000a_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17 de junio se cerro porque nadie se presento_x000a_"/>
    <d v="2022-06-07T00:00:00"/>
    <x v="5"/>
    <s v="jun"/>
    <n v="84"/>
    <n v="75"/>
    <x v="3"/>
    <s v="FUNCIONAMIENTO"/>
    <x v="0"/>
    <m/>
    <m/>
    <m/>
    <m/>
    <m/>
    <n v="226560000"/>
    <m/>
    <m/>
    <m/>
    <m/>
    <m/>
    <m/>
    <m/>
    <m/>
    <x v="1"/>
    <m/>
    <m/>
  </r>
  <r>
    <n v="171"/>
    <s v="0214"/>
    <x v="1"/>
    <d v="2022-03-17T00:00:00"/>
    <x v="3"/>
    <s v="GE0313"/>
    <s v="FR-500-GE-0188-2022"/>
    <s v="500-CMA-1743-2021"/>
    <s v="Suministro de Cables y/o Alambres para la conducción de energía y prestación de servicios de telecomunicaciones, de acuerdo con las condiciones, especificaciones técnicas y formulario de ítems y precios definidos en cada uno de los siguientes grupos : grupo 1: Suministro de cables y alambres para la conducción de energía. GRUPO 2: Suministro de cables BCH y alambres de cobre para el mantenimiento e instalación de las redes de acceso de los servicios de telecomunicaciones."/>
    <n v="2493891768.4210529"/>
    <s v="45 dias"/>
    <s v="N/A"/>
    <m/>
    <n v="202202745"/>
    <n v="2631751640"/>
    <s v="N/A"/>
    <s v="N/A"/>
    <s v="N/A"/>
    <x v="1"/>
    <s v="ESTEFANIA SANCHEZ"/>
    <d v="2022-03-17T00:00:00"/>
    <n v="77"/>
    <n v="77"/>
    <s v="SI"/>
    <s v="Entregado al area"/>
    <x v="1"/>
    <s v="23 de marzo a la espera de la firma de la jefe sandra de la fpa e invitacion_x000a_26 DE ABRIL ENTREGADO AL AREA"/>
    <m/>
    <d v="2022-04-26T00:00:00"/>
    <x v="8"/>
    <m/>
    <n v="40"/>
    <n v="40"/>
    <x v="0"/>
    <s v="INVERSION"/>
    <x v="126"/>
    <d v="2022-04-07T00:00:00"/>
    <n v="2369197180"/>
    <s v="CENTELSA SA"/>
    <m/>
    <n v="124694588.42105293"/>
    <m/>
    <m/>
    <s v="2022-073"/>
    <d v="2022-02-18T00:00:00"/>
    <m/>
    <s v="YUMBO"/>
    <s v="NACIONAL"/>
    <m/>
    <n v="5.0000000000000114E-2"/>
    <x v="0"/>
    <n v="0"/>
    <n v="40"/>
  </r>
  <r>
    <n v="172"/>
    <s v="0215"/>
    <x v="6"/>
    <d v="2022-03-17T00:00:00"/>
    <x v="3"/>
    <s v="GTI0178_x000a_GTI0177"/>
    <s v="FR-200-GTI-0013-2022"/>
    <s v="N/A"/>
    <s v="Suscripción de una plataforma integral de mensajería, correo electrónico y trabajo colaborativo en la Nube."/>
    <n v="1222350357"/>
    <s v="3 Meses"/>
    <s v="900-IPU-0215-2022"/>
    <m/>
    <n v="202202134"/>
    <n v="1222350357"/>
    <s v="N/A"/>
    <s v="N/A"/>
    <s v="Mayor cuantia"/>
    <x v="0"/>
    <s v="PABLO CAICEDO"/>
    <d v="2022-03-17T00:00:00"/>
    <n v="77"/>
    <n v="77"/>
    <s v="SI"/>
    <s v="Entregado al area"/>
    <x v="1"/>
    <s v="31 de marzo evaluacion sobre 1_x000a_20 DE ABRIL EN SOLICITUD DE RP Y POLIZAS_x000a_27 de abril entregado al area"/>
    <m/>
    <d v="2022-04-27T00:00:00"/>
    <x v="8"/>
    <m/>
    <n v="41"/>
    <n v="41"/>
    <x v="0"/>
    <s v="FUNCIONAMIENTO"/>
    <x v="127"/>
    <d v="2022-04-20T00:00:00"/>
    <n v="1215989566"/>
    <s v="THE BEST EXPERIENCE IN TECHNOLOGY SAS"/>
    <m/>
    <n v="6360791"/>
    <m/>
    <m/>
    <s v="N/A"/>
    <s v="N/A"/>
    <m/>
    <s v="BOGOTA"/>
    <s v="NACIONAL"/>
    <m/>
    <n v="5.2037379983356112E-3"/>
    <x v="1"/>
    <n v="2"/>
    <n v="41"/>
  </r>
  <r>
    <n v="173"/>
    <s v="0216"/>
    <x v="0"/>
    <d v="2022-03-17T00:00:00"/>
    <x v="3"/>
    <s v="GT0192"/>
    <s v="FR-400-GT-0154-2022"/>
    <s v="300-CMA-1974-2020"/>
    <s v="Suministro de materiales de ferretería requeridos para el mantenimiento de la red de telecomunicaciones en el área de influencia de EMCALI."/>
    <n v="86320276"/>
    <s v="45 dias"/>
    <s v="N/A"/>
    <m/>
    <n v="202202417"/>
    <m/>
    <s v="N/A"/>
    <s v="N/A"/>
    <s v="N/A"/>
    <x v="1"/>
    <s v="LUCY ARBELAEZ"/>
    <d v="2022-03-18T00:00:00"/>
    <e v="#REF!"/>
    <e v="#REF!"/>
    <s v="SI"/>
    <s v="Entregado al area"/>
    <x v="1"/>
    <s v="31 DE MARZO ADELANTANDO OTRO SI PARA AJUSTE DE PRECIOS_x000a_17 de mayo en invitacion a ofertar_x000a_23 DE MAYO EN ELABORACION DE LA ACEPTAC ION DE LA OFERTA_x000a_9 de junio en aprobacion de garantias_x000a_13 DE JUNIO ENTREGADO AL AREA"/>
    <m/>
    <d v="2022-06-13T00:00:00"/>
    <x v="9"/>
    <m/>
    <n v="88"/>
    <n v="87"/>
    <x v="0"/>
    <s v="FUNCIONAMIENTO"/>
    <x v="128"/>
    <d v="2022-05-25T00:00:00"/>
    <n v="83411573"/>
    <s v="EQUIPOS Y HERRAMIENTAS INDUSTRIALES SAS"/>
    <n v="202205613"/>
    <n v="2908703"/>
    <m/>
    <m/>
    <m/>
    <m/>
    <m/>
    <s v="CALI"/>
    <s v="LOCAL"/>
    <m/>
    <n v="3.3696636929196104E-2"/>
    <x v="0"/>
    <n v="0"/>
    <n v="88"/>
  </r>
  <r>
    <n v="174"/>
    <s v="0217"/>
    <x v="2"/>
    <d v="2022-03-22T00:00:00"/>
    <x v="3"/>
    <s v="GAA0259"/>
    <s v="FR-300-GAA-0086-2022"/>
    <s v="N/A"/>
    <s v="Mantenimiento de equipos electromecanicos de las PTAP´S Río Cali y Rivera"/>
    <n v="219998971"/>
    <s v="31 DE DICIEMBRE 2022"/>
    <s v="900-IPU-0217-2022"/>
    <m/>
    <n v="202200890"/>
    <n v="219998971"/>
    <s v="N/A"/>
    <s v="N/A"/>
    <s v="Menor cuantia"/>
    <x v="0"/>
    <s v="HAROLD MONDRAGON"/>
    <d v="2022-03-29T00:00:00"/>
    <e v="#VALUE!"/>
    <e v="#VALUE!"/>
    <s v="SI"/>
    <s v="Entregado al area"/>
    <x v="1"/>
    <s v="31 DE MARZO EN SOLICITUD DE CONCEPTOS_x000a_1 de abril elaboracion de la fpa_x000a_5 DE ABRIL SE RE ASIGNA DE PABLO A JUAN PABLO_x000a_20 DE ABRIL EN INTELIGENCIA DE MERCADO_x000a_5 DE MAYO  EN INTELIGENCIA DE MERCADO_x000a_17 de mayo en elaboracion de fpa y cc_x000a_24 DE MAYO SE ENTREGA PARA REVISION LA FPA_x000a_9 DE JUNIO EN REVISION DE FPA Y CC_x000a_17 DE JUNIO EN RESPUES A OBSERVACIONES_x000a_30 DE JUNIO EN RECEPCION DE OFERTAS_x000a_ee saneo y se retrotrajo por error en el formulario de precios y cantidades._x000a_18 de julio en evaluacion sobre 1_x000a_1 de agosto en comite sobre 2. 5 DE AGOSTO EN INFORME DE PEVALUACION"/>
    <m/>
    <d v="2022-09-02T00:00:00"/>
    <x v="11"/>
    <m/>
    <n v="164"/>
    <n v="157"/>
    <x v="0"/>
    <s v="FUNCIONAMIENTO"/>
    <x v="129"/>
    <d v="2022-08-19T00:00:00"/>
    <n v="215951252"/>
    <s v="UNION TEMPORAL OVERHAUL 2022"/>
    <n v="202208265"/>
    <n v="4047719"/>
    <m/>
    <m/>
    <m/>
    <m/>
    <m/>
    <s v="CALI"/>
    <s v="LOCAL"/>
    <s v="UNIDAD DE MANTENIMIENTO"/>
    <n v="1.8398808783519266E-2"/>
    <x v="0"/>
    <n v="2"/>
    <n v="109"/>
  </r>
  <r>
    <n v="175"/>
    <s v="0218"/>
    <x v="2"/>
    <d v="2022-03-23T00:00:00"/>
    <x v="3"/>
    <s v="GAA0270"/>
    <s v="FR-300-GAA-0088-2022"/>
    <s v="300-CMA-1794-2021"/>
    <s v="Suministro de elementos de ferreteria para la unidad de distribucción"/>
    <n v="66554963"/>
    <m/>
    <s v="N/A"/>
    <m/>
    <n v="202201161"/>
    <m/>
    <s v="N/A"/>
    <s v="N/A"/>
    <s v="N/A"/>
    <x v="1"/>
    <s v="LUCY ARBELAEZ"/>
    <d v="2022-03-23T00:00:00"/>
    <n v="-44643"/>
    <n v="-44643"/>
    <s v="SI"/>
    <s v="Entregado al area"/>
    <x v="1"/>
    <s v="31 DE MARZO ADELANTANDO OTRO SI PARA AJUSTE DE PRECIOS_x000a_20 DE ABRIL ESPERANDO OTRO SI _x000a_17 de mayo en evaluacion de ofertas_x000a_23 DE MAYO EN ELABORACION DE LA ACEPTAC ION DE LA OFERTA_x000a_9 de junio en aprobacion de garantias"/>
    <m/>
    <d v="2022-06-09T00:00:00"/>
    <x v="10"/>
    <m/>
    <n v="78"/>
    <n v="78"/>
    <x v="0"/>
    <s v="FUNCIONAMIENTO"/>
    <x v="118"/>
    <d v="2022-05-26T00:00:00"/>
    <n v="39751349"/>
    <s v="EQUIPOS Y HERRAMIENTAS INDUSTRIALES SAS"/>
    <n v="202205626"/>
    <n v="26803614"/>
    <m/>
    <m/>
    <m/>
    <m/>
    <m/>
    <s v="CALI"/>
    <s v="LOCAL"/>
    <s v="UENAA U. DISTRIBUCIÓN"/>
    <n v="0.40272900459729805"/>
    <x v="0"/>
    <n v="0"/>
    <n v="78"/>
  </r>
  <r>
    <n v="176"/>
    <s v="0219"/>
    <x v="1"/>
    <d v="2022-03-25T00:00:00"/>
    <x v="3"/>
    <s v="GE0314"/>
    <s v="FR-500-GE-0190-2022"/>
    <s v="N/A"/>
    <s v="Mantenimiento general de transformadores de potencia de las Subestaciones de Energía"/>
    <n v="535500000"/>
    <m/>
    <s v="900-IPU-0219-2022"/>
    <s v="IPU"/>
    <n v="202203018"/>
    <m/>
    <s v="N/A"/>
    <s v="N/A"/>
    <s v="Mayor cuantia"/>
    <x v="0"/>
    <s v="JULIO GARCIA"/>
    <d v="2022-04-04T00:00:00"/>
    <e v="#VALUE!"/>
    <e v="#VALUE!"/>
    <s v="NO"/>
    <s v="Cerrado"/>
    <x v="0"/>
    <m/>
    <s v="20 de abril en elaboracion de la fpa y cc_x000a_5 DE MAYO EN REVISION Y AJUSTES DE LA FPA _x000a_17 de mayo para publicar cc_x000a_27 DE MAYO SE RECIBEN OFERTAS_x000a_8 de junio en evaluacion sobre 1_x000a_17 DE JUNIO EN EVALUACION SOBRE 1_x000a_8 DE JULIO CERRADO"/>
    <d v="2022-07-08T00:00:00"/>
    <x v="5"/>
    <s v="jul"/>
    <n v="105"/>
    <n v="95"/>
    <x v="3"/>
    <s v="FUNCIONAMIENTO"/>
    <x v="0"/>
    <m/>
    <m/>
    <m/>
    <m/>
    <m/>
    <e v="#VALUE!"/>
    <m/>
    <m/>
    <m/>
    <m/>
    <m/>
    <m/>
    <m/>
    <m/>
    <x v="0"/>
    <m/>
    <m/>
  </r>
  <r>
    <n v="177"/>
    <s v="0220"/>
    <x v="5"/>
    <d v="2022-03-25T00:00:00"/>
    <x v="3"/>
    <s v="GHA0049_x000a_GHA0052"/>
    <s v="FR-800-GAGHA-0141-2022"/>
    <s v="N/A"/>
    <s v="Suministrar la dotación de ropa para los servicios públicos y Brigadistas de EMCALI EICE ESP"/>
    <n v="1044411000"/>
    <s v="28 DE NOVIEMBRE 2022"/>
    <s v="900-IPU-0220-2022"/>
    <m/>
    <s v="202202736_x000a_202202743_x000a_202202737"/>
    <n v="1039903043"/>
    <s v="N/A"/>
    <s v="N/A"/>
    <s v="Mayor cuantia"/>
    <x v="0"/>
    <s v="PAOLA BELTRAN"/>
    <d v="2022-03-28T00:00:00"/>
    <e v="#VALUE!"/>
    <e v="#VALUE!"/>
    <s v="SI"/>
    <s v="Entregado al area"/>
    <x v="1"/>
    <s v="31 de marzo en elaboracion de fpa y cc, SE REASIGNBO EL PROCESO A PABLO CAICEDO, ANTES LO TENIA LEYDI FRANCO_x000a_20 DE ABRIL EN REVISION DE LA FPA_x000a_5 DE MAYO CONTINUA EN ESTRUCTURACION_x000a_17 de mayo en respuesta a observaciones_x000a_25 de mayo se recoben ofertas_x000a_9 de junio en evaluacion sobre1_x000a_18 de julio en acta de adjudicacion_x000a_29 de julio esperando polizas por parte del proveedor_x000a_1 DE AGOSTO PENDIENTE DE APROBACION DE POLIZAS_x000a_18 DE AGOSTO EN OTRO SI PARA AMPLIAICON DEL PLAZO"/>
    <s v="EL PROVEEDOR PIDIO AMPLIAR EL PLAZO DE ENTREGA , LLAMO A JAIME CHAVEZ PARA PEDIR AUTORIZACION DE OTRO SI"/>
    <d v="2022-09-12T00:00:00"/>
    <x v="11"/>
    <m/>
    <n v="171"/>
    <n v="168"/>
    <x v="0"/>
    <s v="FUNCIONAMIENTO"/>
    <x v="130"/>
    <d v="2022-07-19T00:00:00"/>
    <n v="1042387972"/>
    <s v="VICKBAY SAS"/>
    <m/>
    <n v="2023028"/>
    <m/>
    <m/>
    <m/>
    <m/>
    <m/>
    <m/>
    <m/>
    <s v="UNIDAD SEGURIDAD Y SALUD EN EL TRABAJO"/>
    <n v="1.9370037274597835E-3"/>
    <x v="1"/>
    <n v="2"/>
    <n v="145"/>
  </r>
  <r>
    <n v="178"/>
    <s v="0221"/>
    <x v="0"/>
    <d v="2022-03-25T00:00:00"/>
    <x v="3"/>
    <s v="GT0229"/>
    <s v="FR-400-GT-0155-2022"/>
    <s v="N/A"/>
    <s v="Suministro de Equipos Terminales CPE con tecnología ADSL2+/VDSL2 para el mercado masivo y comercial de EMCALI"/>
    <n v="1000000000"/>
    <s v="90 dias"/>
    <s v="900-IPU-0221-2022"/>
    <m/>
    <n v="202202954"/>
    <m/>
    <s v="N/A"/>
    <s v="N/A"/>
    <s v="Mayor cuantia"/>
    <x v="0"/>
    <s v="HAROLD MONDRAGON"/>
    <d v="2022-03-28T00:00:00"/>
    <n v="173"/>
    <n v="170"/>
    <s v="SI"/>
    <s v="Entregado al area"/>
    <x v="1"/>
    <s v="31 DE MARZO EN REVISION POR LA COORDINADORA SILVIA_x000a_20 de abril en respuesta a observaciones_x000a_SE RETROTRAJO Y SE RECIBEN NUEVAMENTE OFERTAS_x000a_17 de mayo en evaluacion sobre 1_x000a_24 DE MAYO EN EVALUACION SOBRE 2_x000a_9 DE JUNIO ESPERANDO  COMITÉ_x000a_30 de junio esperando las polizas por parte del contratista_x000a_18 de julio aprobacion de polizas_x000a_1 de agosto en aprobacion de polizas. 5 DE AGOSTO PENDIENTE DE QUE ZTE ARREGLE LAS POLIZAS"/>
    <m/>
    <d v="2022-08-17T00:00:00"/>
    <x v="1"/>
    <m/>
    <n v="145"/>
    <n v="142"/>
    <x v="1"/>
    <s v="INVERSION"/>
    <x v="131"/>
    <d v="2022-06-16T00:00:00"/>
    <n v="958964118"/>
    <s v="ZTE  CORPORATION SUCURSAL COLOMBIA"/>
    <n v="202207824"/>
    <n v="41035882"/>
    <m/>
    <m/>
    <m/>
    <m/>
    <m/>
    <s v="BOGOTA"/>
    <s v="NACIONAL"/>
    <s v="SUB GERENCIA COMERCIAL"/>
    <n v="4.1035882000000003E-2"/>
    <x v="0"/>
    <n v="2"/>
    <n v="99"/>
  </r>
  <r>
    <n v="179"/>
    <s v="0222"/>
    <x v="2"/>
    <d v="2022-03-25T00:00:00"/>
    <x v="3"/>
    <s v="GAA0646"/>
    <s v="FR-300-GAA-0097-2022"/>
    <s v="300-CMA-1974-2020"/>
    <s v="Suministro de elementos de Ferretería"/>
    <n v="1053865028"/>
    <s v="4 Meses"/>
    <s v="N/A"/>
    <m/>
    <n v="202202078"/>
    <m/>
    <s v="N/A"/>
    <s v="N/A"/>
    <s v="N/A"/>
    <x v="1"/>
    <s v="LUCY ARBELAEZ"/>
    <d v="2022-03-28T00:00:00"/>
    <e v="#REF!"/>
    <e v="#REF!"/>
    <s v="SI"/>
    <s v="Entregado al area"/>
    <x v="1"/>
    <s v="31 DE MARZO ADELANTANDO OTRO SI PARA AJUSTE DE PRECIOS_x000a_20 DE ABRIL ESPERANDO OTRO SI _x000a_17 de mayo en evaluacion de ofertas_x000a_23 DE MAYO EN EVALUACION_x000a_9 de junio en aprobacion de garantias_x000a_"/>
    <m/>
    <d v="2022-06-06T00:00:00"/>
    <x v="9"/>
    <m/>
    <n v="73"/>
    <n v="70"/>
    <x v="0"/>
    <s v="FUNCIONAMIENTO"/>
    <x v="132"/>
    <d v="2022-05-23T00:00:00"/>
    <n v="985518328"/>
    <s v="EQUIPOS Y HERRAMIENTAS INDUSTRIALES SAS"/>
    <n v="202205513"/>
    <n v="68346700"/>
    <m/>
    <m/>
    <m/>
    <m/>
    <m/>
    <s v="CALI"/>
    <s v="LOCAL"/>
    <m/>
    <n v="6.4853371337036156E-2"/>
    <x v="0"/>
    <n v="0"/>
    <n v="73"/>
  </r>
  <r>
    <n v="180"/>
    <s v="0223"/>
    <x v="2"/>
    <d v="2022-03-25T00:00:00"/>
    <x v="3"/>
    <s v="GAA0294_x000a_GAA0295_x000a_GAA0296_x000a_GAA0297"/>
    <s v="FR-300-GAA-0091-2022"/>
    <s v="300-CMA-1974-2020"/>
    <s v="Suministro de materiales para atender necesidades de la unidad de atención operativa en la actividades de reparación de daños de red y acometidas"/>
    <n v="3111659691"/>
    <s v="60 dias"/>
    <s v="N/A"/>
    <m/>
    <s v="202202475_x000a_202202476_x000a_202202477_x000a_202202478"/>
    <n v="3111659691"/>
    <s v="N/A"/>
    <s v="N/A"/>
    <s v="N/A"/>
    <x v="1"/>
    <s v="LUCY ARBELAEZ"/>
    <d v="2022-03-28T00:00:00"/>
    <e v="#REF!"/>
    <e v="#REF!"/>
    <s v="SI"/>
    <s v="Entregado al area"/>
    <x v="1"/>
    <s v="31 DE MARZO ADELANTANDO OTRO SI PARA AJUSTE DE PRECIOS_x000a_20 DE ABRIL ESPERANDO OTRO SI _x000a_17 de mayo en evaluacion de ofertas_x000a_23 DE MAYO EN ACEPTACION DE OFERTA_x000a_9 de junio en aprobacion de garantia"/>
    <m/>
    <d v="2022-06-10T00:00:00"/>
    <x v="9"/>
    <m/>
    <n v="77"/>
    <n v="74"/>
    <x v="0"/>
    <s v="FUNCIONAMIENTO"/>
    <x v="133"/>
    <d v="2022-05-26T00:00:00"/>
    <n v="2993832375"/>
    <s v="EQUIPOS Y HERRAMIENTAS INDUSTRIALES SAS"/>
    <s v="202205622_x000a_202205637"/>
    <n v="117827316"/>
    <m/>
    <m/>
    <m/>
    <m/>
    <m/>
    <s v="CALI"/>
    <s v="LOCAL"/>
    <m/>
    <n v="3.7866388905186996E-2"/>
    <x v="0"/>
    <n v="0"/>
    <n v="77"/>
  </r>
  <r>
    <n v="181"/>
    <s v="0224"/>
    <x v="2"/>
    <d v="2022-03-28T00:00:00"/>
    <x v="3"/>
    <s v="GAA0255"/>
    <s v="FR-300-GAA-0090-2022"/>
    <s v="N/A"/>
    <s v="Reparación descargas de reactores 1 y 2 PTAP Río Cauca"/>
    <n v="425201539"/>
    <s v="28 DE NOVIEMBRE 2022"/>
    <s v="900-IPU-0224-2022"/>
    <m/>
    <n v="202200888"/>
    <n v="425201539"/>
    <s v="N/A"/>
    <s v="N/A"/>
    <s v="Menor cuantia"/>
    <x v="0"/>
    <s v="HAROLD MONDRAGON"/>
    <d v="2022-04-04T00:00:00"/>
    <n v="170"/>
    <n v="163"/>
    <s v="SI"/>
    <s v="Entregado al area"/>
    <x v="1"/>
    <s v="5 de abril en solicitud de conceptos_x000a_20 DE ABRIL EN ELABORACION DE FPA Y CC_x000a_5 DE MAYO REASIGNADO A JUAN PABLO LO TENIA VIAGNERY CONTINUA EN ELABORACIO DE FPA_x000a_17 de mayo en elaboracion de fpa y cc_x000a_9 DE JUNIO EN EVALUACION_x000a_17 DE JUNIO EN EVALUACION_x000a_30 DE JUNIO SE SANEO Y SE RCIBEN NUEVAMENTE OFERTAS_x000a_18 de julio para comite de evaluacion sobre 1_x000a_1 de agosto en evaluacion sobre 2. 5 DE AGOSTO EN ADJUDICACION"/>
    <m/>
    <d v="2022-08-23T00:00:00"/>
    <x v="1"/>
    <m/>
    <n v="148"/>
    <n v="141"/>
    <x v="2"/>
    <s v="FUNCIONAMIENTO"/>
    <x v="134"/>
    <d v="2022-08-10T00:00:00"/>
    <n v="416649663"/>
    <s v="CABARCO INGENIERIA SAS"/>
    <n v="202207863"/>
    <n v="8551876"/>
    <m/>
    <m/>
    <s v="N/A"/>
    <s v="N/A"/>
    <m/>
    <m/>
    <m/>
    <s v="UNIDAD DE MANTENIMIENTO"/>
    <n v="2.0112523628471626E-2"/>
    <x v="0"/>
    <n v="2"/>
    <n v="94"/>
  </r>
  <r>
    <n v="182"/>
    <s v="0225"/>
    <x v="2"/>
    <d v="2022-03-28T00:00:00"/>
    <x v="3"/>
    <s v="GAA0554"/>
    <s v="FR-300-GAA-0101-2022"/>
    <s v="300-CMA-1974-2020"/>
    <s v="Suministro de materiales de ferretería para la Unidad Control Integral de Perdidas de Agua/Subgerencia de Gestión Comercial"/>
    <n v="2583811038"/>
    <s v="90 Dias"/>
    <s v="N/A"/>
    <m/>
    <n v="202202749"/>
    <m/>
    <s v="N/A"/>
    <s v="N/A"/>
    <s v="N/A"/>
    <x v="1"/>
    <s v="LUCY ARBELAEZ"/>
    <d v="2022-03-29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77"/>
    <n v="76"/>
    <x v="0"/>
    <s v="FUNCIONAMIENTO"/>
    <x v="135"/>
    <d v="2022-05-31T00:00:00"/>
    <n v="2583811038"/>
    <s v="EQUIPOS Y HERRAMIENTAS INDUSTRIALES SAS"/>
    <n v="202205666"/>
    <n v="0"/>
    <m/>
    <m/>
    <m/>
    <m/>
    <m/>
    <s v="EQUIPOS Y HERRAMIENTAS INDUSTRIALES SAS"/>
    <s v="CALI"/>
    <m/>
    <n v="0"/>
    <x v="0"/>
    <n v="0"/>
    <n v="77"/>
  </r>
  <r>
    <n v="183"/>
    <s v="0226"/>
    <x v="2"/>
    <d v="2022-03-28T00:00:00"/>
    <x v="3"/>
    <s v="GAA0621"/>
    <s v="FR-300-GAA-0093-2022"/>
    <s v="N/A"/>
    <s v="Mantenimiento de seis (6) celdas 8DA10 SIEMENS de la PTAP Planta Río Cauca (OVERHOULT CELDAS SUBESTACIÓN PLANTA RIO CAUCA)"/>
    <n v="151608261"/>
    <s v="60 DIAS"/>
    <s v="900-IPU-0226-2022"/>
    <m/>
    <n v="202202904"/>
    <m/>
    <s v="N/A"/>
    <s v="N/A"/>
    <s v="Menor cuantia"/>
    <x v="0"/>
    <s v="HAROLD MONDRAGON"/>
    <d v="2022-04-04T00:00:00"/>
    <n v="170"/>
    <n v="163"/>
    <s v="SI"/>
    <s v="Entregado al area"/>
    <x v="1"/>
    <s v="5 de abril en solicitud de conceptos_x000a_20 DE ABRIL EN ELABORACION DE FPA Y CC_x000a_5 DE MAYO EN ELBORACION DE LA FPA ESPERANDO INFORMACION DEL AREA_x000a_16 de mayo publicado_x000a_9 de junio en evaluacion_x000a_17 DE JUNIO EN EVALUACION 1_x000a_30 DE JUNIO EN EVALUACION SOBRE 2_x000a_18 de julio publicacion de informe de evaluacion_x000a_1 de agosto en espera de las polizas por parte del proveedor"/>
    <m/>
    <d v="2022-08-25T00:00:00"/>
    <x v="1"/>
    <m/>
    <n v="150"/>
    <n v="143"/>
    <x v="0"/>
    <s v="INVERSION"/>
    <x v="136"/>
    <d v="2022-07-25T00:00:00"/>
    <n v="151608261"/>
    <s v="SIEMENS  SAS"/>
    <n v="202207238"/>
    <n v="0"/>
    <m/>
    <m/>
    <m/>
    <m/>
    <m/>
    <s v="TENJO"/>
    <s v="CUNDINAMARCA"/>
    <s v="UNIDAD DE MANTENIMIENTO"/>
    <n v="0"/>
    <x v="0"/>
    <n v="2"/>
    <n v="124"/>
  </r>
  <r>
    <n v="184"/>
    <s v="0227"/>
    <x v="2"/>
    <d v="2022-03-28T00:00:00"/>
    <x v="3"/>
    <s v="GAA0406"/>
    <s v="FR-300-GAA-0096-2022"/>
    <s v="N/A"/>
    <s v="Servicios de asesoría para control de parámetros de seguimiento al plan de manejo ambiental - PMA de la Planta de Tratamiento de Aguas Residuales de Cañaveralejo - PTAR C DE EMCALI EICE ESP"/>
    <n v="495000000"/>
    <m/>
    <s v="900-IPU-0227-2022"/>
    <s v="IPU"/>
    <n v="202202753"/>
    <n v="495000000"/>
    <s v="N/A"/>
    <s v="N/A"/>
    <s v="Menor cuantia"/>
    <x v="0"/>
    <s v="CRISTHIAN BURBANO"/>
    <d v="2022-04-04T00:00:00"/>
    <e v="#VALUE!"/>
    <e v="#VALUE!"/>
    <s v="NO"/>
    <s v="Cerrado"/>
    <x v="0"/>
    <m/>
    <s v="5 de abril en solicitud de conceptos_x000a_19 de abril en inteligencia de mercado_x000a_4 de mayo en inteligencia_x000a_17 de mayo en inteligencia de mercado_x000a_23 DE MAYO PUBLICADO_x000a_9 de junio en evaluacion de ofertas_x000a_17 de junio en evaluacion sobre 1_x000a_30 de junio en evaluacion sobre 1_x000a_15 de julio cerrado porque los oferentes no cumplieron con la idoneidad juridica.. Se cierra y se realizara por IP."/>
    <d v="2022-07-15T00:00:00"/>
    <x v="5"/>
    <s v="jul"/>
    <n v="109"/>
    <n v="102"/>
    <x v="5"/>
    <s v="FUNCIONAMIENTO"/>
    <x v="0"/>
    <m/>
    <m/>
    <m/>
    <m/>
    <m/>
    <e v="#VALUE!"/>
    <m/>
    <m/>
    <m/>
    <m/>
    <m/>
    <m/>
    <m/>
    <m/>
    <x v="0"/>
    <m/>
    <m/>
  </r>
  <r>
    <n v="185"/>
    <s v="0228"/>
    <x v="2"/>
    <d v="2022-03-28T00:00:00"/>
    <x v="3"/>
    <s v="GAA0552_x000a_GAA0553"/>
    <s v="FR-300-GAA-0100-2022"/>
    <s v="300-CMA-1974-2020"/>
    <s v="Suministro de equipos menores y herramientas"/>
    <n v="235970077"/>
    <m/>
    <s v="N/A"/>
    <m/>
    <s v="202203077_x000a_202203078"/>
    <m/>
    <s v="N/A"/>
    <s v="N/A"/>
    <s v="N/A"/>
    <x v="1"/>
    <s v="LUCY ARBELAEZ"/>
    <d v="2022-03-29T00:00:00"/>
    <n v="170"/>
    <n v="169"/>
    <m/>
    <s v="Entregado al area"/>
    <x v="1"/>
    <s v="31 DE MARZO ADELANTANDO OTRO SI PARA AJUSTE DE PRECIOS_x000a_20 DE ABRIL ESPERANDO OTRO SI _x000a_17 de mayo en invitacion de ofertas_x000a_23 DE MAYO EN ACEPTACION DE OFERTA_x000a_9 de junio en aprobacion de garantia"/>
    <m/>
    <d v="2022-06-13T00:00:00"/>
    <x v="1"/>
    <m/>
    <n v="-44648"/>
    <n v="-44649"/>
    <x v="0"/>
    <s v="FUNCIONAMIENTO"/>
    <x v="137"/>
    <m/>
    <n v="207306980"/>
    <s v="Equipos y Herramientas Industriales SAS"/>
    <m/>
    <n v="28663097"/>
    <m/>
    <m/>
    <m/>
    <m/>
    <m/>
    <m/>
    <m/>
    <s v="UNIDAD CONTROL INTEGRAL DE PERDIDAS DE AGUA"/>
    <n v="0.12146920221583858"/>
    <x v="0"/>
    <n v="0"/>
    <n v="77"/>
  </r>
  <r>
    <n v="186"/>
    <s v="0229"/>
    <x v="1"/>
    <d v="2022-03-29T00:00:00"/>
    <x v="3"/>
    <s v="GE0316"/>
    <s v="FR-500-GE-0191-2022"/>
    <s v="500-CMA-1743-2021"/>
    <s v="Suministro de CONDUCTORES para la construcción de los circuitos que se modificaran para optimización y expansión del SDL en las subestaciones SUR Y LADERA con la finalidad de mejorar los indicadores del servicio del Sistema de Distribución Local de EMCALI, para los usuarios de estos circuitos. Disminuyendo los indicadores de calidad al mejorar las condiciones operativas de los circuitos y además permitiendo atención de la demanda ante expansiones."/>
    <n v="3314177182.1052632"/>
    <s v="45 dias"/>
    <s v="N/A"/>
    <m/>
    <n v="202202730"/>
    <n v="3361186773"/>
    <s v="N/A"/>
    <s v="N/A"/>
    <s v="N/A"/>
    <x v="1"/>
    <s v="ESTEFANIA SANCHEZ"/>
    <d v="2022-03-30T00:00:00"/>
    <n v="65"/>
    <n v="64"/>
    <s v="SI"/>
    <s v="Entregado al area"/>
    <x v="1"/>
    <s v="5 de mayo entregado al area"/>
    <m/>
    <d v="2022-05-05T00:00:00"/>
    <x v="8"/>
    <m/>
    <n v="37"/>
    <n v="36"/>
    <x v="0"/>
    <s v="INVERSION"/>
    <x v="138"/>
    <d v="2022-04-22T00:00:00"/>
    <n v="3148468323"/>
    <s v="CABLES DE ENERGIA Y TELECOMUNICACIONES SA"/>
    <m/>
    <n v="165708859.10526323"/>
    <m/>
    <m/>
    <s v="2022-079"/>
    <m/>
    <m/>
    <s v="YUMBO"/>
    <s v="MUNICIPAL"/>
    <m/>
    <n v="5.0000000000000024E-2"/>
    <x v="0"/>
    <n v="0"/>
    <n v="37"/>
  </r>
  <r>
    <n v="187"/>
    <s v="0230"/>
    <x v="2"/>
    <d v="2022-03-29T00:00:00"/>
    <x v="3"/>
    <s v="N/A"/>
    <s v="FR-300-GAA-0103-2022"/>
    <s v="N/A"/>
    <s v="Contrato Marco para el suministro de Hidroxicloruro de Aluminio para ser utilizado en el Tratamiento de Agua Potable para Consumo Humano"/>
    <s v="N/A"/>
    <m/>
    <s v="900-IPU-0230-2022"/>
    <s v="IPU"/>
    <s v="N/A"/>
    <s v="N/A"/>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2T00:00:00"/>
    <x v="5"/>
    <s v="ago"/>
    <n v="126"/>
    <n v="123"/>
    <x v="3"/>
    <s v="FUNCIONAMIENTO"/>
    <x v="0"/>
    <m/>
    <m/>
    <m/>
    <m/>
    <e v="#VALUE!"/>
    <m/>
    <m/>
    <m/>
    <m/>
    <m/>
    <m/>
    <m/>
    <m/>
    <m/>
    <x v="0"/>
    <m/>
    <m/>
  </r>
  <r>
    <n v="188"/>
    <s v="0231"/>
    <x v="2"/>
    <d v="2022-03-29T00:00:00"/>
    <x v="3"/>
    <s v="N/A"/>
    <s v="FR-300-GAA-0104-2022"/>
    <s v="N/A"/>
    <s v="Contrato Marco para el Suministro de Cloro Líquido e Hidróxido de Sodio en base seca con presentación líquida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sperando reunion con el area_x000a_2 de agosto esprando reunion con el area para definir la situacion"/>
    <d v="2022-08-02T00:00:00"/>
    <x v="5"/>
    <s v="ago"/>
    <n v="126"/>
    <n v="123"/>
    <x v="3"/>
    <s v="FUNCIONAMIENTO"/>
    <x v="0"/>
    <m/>
    <m/>
    <m/>
    <m/>
    <e v="#VALUE!"/>
    <m/>
    <m/>
    <m/>
    <m/>
    <m/>
    <m/>
    <m/>
    <m/>
    <m/>
    <x v="0"/>
    <m/>
    <m/>
  </r>
  <r>
    <n v="189"/>
    <s v="0232"/>
    <x v="2"/>
    <d v="2022-03-29T00:00:00"/>
    <x v="3"/>
    <s v="N/A"/>
    <s v="FR-300-GAA-0105-2022"/>
    <s v="N/A"/>
    <s v="Contrato Marco para el Suministro de Coagulante (Cloruro Férrico en base seca con presentación líquida al 42% y/o Sulfato de Aluminio Tipo B en base seca con presentación líquida al 49%)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3"/>
    <n v="130"/>
    <x v="3"/>
    <s v="FUNCIONAMIENTO"/>
    <x v="0"/>
    <m/>
    <m/>
    <m/>
    <m/>
    <e v="#VALUE!"/>
    <m/>
    <m/>
    <m/>
    <m/>
    <m/>
    <m/>
    <m/>
    <m/>
    <m/>
    <x v="0"/>
    <m/>
    <m/>
  </r>
  <r>
    <n v="190"/>
    <s v="0233"/>
    <x v="2"/>
    <d v="2022-03-29T00:00:00"/>
    <x v="3"/>
    <s v="N/A"/>
    <s v="FR-300-GAA-0106-2022"/>
    <s v="N/A"/>
    <s v="Contrato Marco para el Suministro de Carbón Activado para ser utilizado en el Tratamiento de Agua Potable para Consumo Humano"/>
    <s v="N/A"/>
    <m/>
    <s v="900-IPU-0230-2022"/>
    <s v="IPU"/>
    <s v="N/A"/>
    <m/>
    <s v="N/A"/>
    <s v="N/A"/>
    <s v="N/A"/>
    <x v="0"/>
    <s v="AYDEE OVALLE"/>
    <d v="2022-04-01T00:00:00"/>
    <e v="#VALUE!"/>
    <e v="#VALUE!"/>
    <s v="NO"/>
    <s v="Devuelto"/>
    <x v="2"/>
    <m/>
    <s v="19 de abril en elaboracion de fpa_x000a_29 DE ABRIL  elaboracion de fpa_x000a_3 de mayo reasignado a francia ramirez_x000a_18 de mayo se realizara un workshop con los proveedores y el area tecnica. En revision de requisitos tecnicos por parte del area_x000a_23 DE MAYO EN ELABORACION DE LA ESTRATEGIA PARA AJUSTAR PRECIOS CADA TRES MESES_x000a_2 de agosto esprando reunion con el area para definir la situacion"/>
    <d v="2022-08-02T00:00:00"/>
    <x v="5"/>
    <s v="ago"/>
    <n v="126"/>
    <n v="123"/>
    <x v="3"/>
    <s v="FUNCIONAMIENTO"/>
    <x v="0"/>
    <m/>
    <m/>
    <m/>
    <m/>
    <e v="#VALUE!"/>
    <m/>
    <m/>
    <m/>
    <m/>
    <m/>
    <m/>
    <m/>
    <m/>
    <m/>
    <x v="0"/>
    <m/>
    <m/>
  </r>
  <r>
    <n v="191"/>
    <s v="0234"/>
    <x v="2"/>
    <d v="2022-03-29T00:00:00"/>
    <x v="3"/>
    <s v="GAA0624"/>
    <s v="FR-300-GAA-0098-2022"/>
    <s v="N/A"/>
    <s v="Suministro de equipos de Instrumentación para  las Plantas de Tratamiento de Agua Potable"/>
    <n v="155815600"/>
    <s v="28 DE NOVIEMBRE 2022"/>
    <s v="900-IPU-0234-2022"/>
    <m/>
    <n v="202202922"/>
    <m/>
    <s v="N/A"/>
    <s v="N/A"/>
    <s v="Menor cuantia"/>
    <x v="0"/>
    <s v="JHON LARRY "/>
    <d v="2022-04-04T00:00:00"/>
    <n v="169"/>
    <n v="163"/>
    <s v="SI"/>
    <s v="Entregado al area"/>
    <x v="1"/>
    <s v="20 DE ABRIL EN INTELIGENCIA DE MERCADO_x000a_5 DE MAYO ESPERANDO LA INTELIGENCIA DE MERCADO_x000a_17 de mayo en inteligencia de mercado_x000a_24 DE MAYO EN INTELIGENCIA DE MERCADO_x000a_13 de junio se reciben ofertas_x000a_17 de junio en evaluacion sobre 1_x000a_30 de junio en evaluacion_x000a_2 de agosto en adjudicacion. 5 DE AGOSTO EN ADJUDICACION.}"/>
    <m/>
    <d v="2022-08-17T00:00:00"/>
    <x v="1"/>
    <m/>
    <n v="141"/>
    <n v="135"/>
    <x v="0"/>
    <s v="INVERSION"/>
    <x v="139"/>
    <d v="2022-08-08T00:00:00"/>
    <n v="149772663"/>
    <s v="IMATIC INGENIERIA SAS"/>
    <m/>
    <n v="6042937"/>
    <m/>
    <m/>
    <m/>
    <m/>
    <m/>
    <m/>
    <m/>
    <s v="UNIDAD DE MANTENIMIENTO"/>
    <n v="3.8782618685163743E-2"/>
    <x v="0"/>
    <n v="2"/>
    <n v="115"/>
  </r>
  <r>
    <n v="192"/>
    <s v="0235"/>
    <x v="2"/>
    <d v="2022-03-29T00:00:00"/>
    <x v="3"/>
    <s v="GAA0261_x000a_GAA0637"/>
    <s v="FR-300-GAA-0099-2022"/>
    <s v="N/A"/>
    <s v="OVERHOULT Equipos Electoromecanicos para los equipos de PTAP Río Cauca"/>
    <n v="357751462"/>
    <s v="31 DE DICIEMBRE 2022"/>
    <s v="900-IPU-0217-2022"/>
    <m/>
    <n v="202202910"/>
    <n v="357751462"/>
    <s v="N/A"/>
    <s v="N/A"/>
    <s v="Men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UO SE RECIBE OFERTAS PARA EL 7 DE JULIO_x000a_18 de julio en evaluacion sobre 1_x000a_"/>
    <m/>
    <d v="2022-09-02T00:00:00"/>
    <x v="11"/>
    <m/>
    <n v="157"/>
    <n v="151"/>
    <x v="0"/>
    <s v="INVERSION"/>
    <x v="140"/>
    <d v="2022-08-19T00:00:00"/>
    <n v="345825900"/>
    <s v="PAYAN Y CIA LTDA "/>
    <n v="202208262"/>
    <n v="11925562"/>
    <m/>
    <m/>
    <m/>
    <m/>
    <m/>
    <s v="CALI"/>
    <s v="LOCAL"/>
    <s v="UNIDAD DE MANTENIMIENTO"/>
    <n v="3.3334768035133841E-2"/>
    <x v="0"/>
    <n v="2"/>
    <n v="109"/>
  </r>
  <r>
    <n v="193"/>
    <s v="0236"/>
    <x v="5"/>
    <d v="2022-03-30T00:00:00"/>
    <x v="3"/>
    <s v="GHA0224_x000a_GHA0225"/>
    <s v="FR-800-GAGHA-0142-2022"/>
    <s v="N/A"/>
    <s v="Realizar la compra de un (1) vehículo SUV 4X4 de 5 puertas; incluyendo el servicio de Diez (10) mantenimientos preventivos para el vehículo, con las adecuaciones requeridas por EMCALI EICE ESP"/>
    <n v="113330053"/>
    <m/>
    <s v="900-IPU-0213-2022"/>
    <s v="IPU"/>
    <s v="202202682_x000a_202202679"/>
    <m/>
    <s v="N/A"/>
    <s v="N/A"/>
    <s v="Menor cuantia"/>
    <x v="0"/>
    <s v="LEIDY DIANA FRANCO"/>
    <d v="2022-04-01T00:00:00"/>
    <e v="#VALUE!"/>
    <e v="#VALUE!"/>
    <s v="NO"/>
    <s v="Cerrado"/>
    <x v="0"/>
    <m/>
    <s v="20 de abril a la espera de inteligencias de mercado_x000a_5 de mayo en inteligencia de mercado_x000a_23 DE MAYO EN RECEPCION DE OBSERVACIONES_x000a_8 DE JUNIO EN RESPUESTA A OBSERVACIONES YA QUE SE ADENDO AMPLIANDO CRONOGRAMA PARA INCLUIR AUDIENCIA DE PRESICION DE CONDICIONES DE CONTRATACION_x000a_"/>
    <d v="2022-06-08T00:00:00"/>
    <x v="5"/>
    <s v="jun"/>
    <n v="70"/>
    <n v="68"/>
    <x v="3"/>
    <s v="FUNCIONAMIENTO"/>
    <x v="0"/>
    <m/>
    <m/>
    <m/>
    <m/>
    <m/>
    <e v="#VALUE!"/>
    <m/>
    <m/>
    <m/>
    <m/>
    <m/>
    <m/>
    <m/>
    <m/>
    <x v="1"/>
    <m/>
    <m/>
  </r>
  <r>
    <n v="194"/>
    <s v="0237"/>
    <x v="5"/>
    <d v="2022-03-30T00:00:00"/>
    <x v="3"/>
    <s v="GHA0228_x000a_GHA0229"/>
    <s v="FR-800-GAGHA-0146-2022"/>
    <s v="N/A"/>
    <s v="Realizar la compra de un cargador frontal con capacidad volumétrica del balde entre 2,2 y 3,5 metros cúbicos, con las condiciones de entrega requeridas por EMCALI EICE ESP, incluyendo el servicio de Diez (10) mantenimientos preventivos"/>
    <n v="912574000"/>
    <s v="28 DE NOVIEMBRE"/>
    <s v="900-IPU-0237-2022"/>
    <m/>
    <s v="202202454_x000a_202201858"/>
    <n v="916700000"/>
    <s v="N/A"/>
    <s v="N/A"/>
    <s v="Mayor cuantia"/>
    <x v="0"/>
    <s v="LEIDY FRANCO"/>
    <d v="2022-04-01T00:00:00"/>
    <n v="168"/>
    <n v="166"/>
    <s v="SI"/>
    <s v="Entregado al area"/>
    <x v="1"/>
    <s v="20 de abril a la espera de inteligencias de mercado_x000a_5 de mayo en inteligencia de mercado_x000a_23 DE MAYO PUBLICADO_x000a_8 DE JUNIO EN RESPUESTA A OBSERVACIONES YA QUE SE ADENDO AMPLIANDO CRONOGRAMA PARA INCLUIR AUDIENCIA DE PRESICION DE CONDICIONES DE CONTRATACION_x000a_21 DE JUNIO SE RECIBEN OFERTAS_x000a_30 de junio en evaluacion sobre 1_x000a_29 DE JULIO SE SOCLICITARON LAS POLIZAS_x000a_2 DE AGOSTO CONTINUA EN EXPEDICION DE POLIZAS"/>
    <m/>
    <d v="2022-08-04T00:00:00"/>
    <x v="1"/>
    <m/>
    <n v="127"/>
    <n v="125"/>
    <x v="0"/>
    <s v="FUNCIONAMIENTO"/>
    <x v="141"/>
    <d v="2022-07-26T00:00:00"/>
    <n v="830487000"/>
    <s v="KOMATSU COLOMBIA SAS"/>
    <n v="202207259"/>
    <n v="82087000"/>
    <m/>
    <m/>
    <m/>
    <m/>
    <m/>
    <s v="CHIA CUNDINAMARCA"/>
    <s v="NACIONAL"/>
    <s v="UNIDAD GESTIÓN ADMINISTRATIVA"/>
    <n v="8.9951061502957563E-2"/>
    <x v="1"/>
    <n v="2"/>
    <n v="101"/>
  </r>
  <r>
    <n v="195"/>
    <s v="0238"/>
    <x v="5"/>
    <d v="2022-03-30T00:00:00"/>
    <x v="3"/>
    <s v="GHA0086"/>
    <s v="FR-800-GAGHA-0140-2022"/>
    <s v="N/A"/>
    <s v="Realizar el suministro e Instalación de llantas nuevas, rines, válvulas, neumáticos y protectores nuevos, incluyendo el servicio de marcación, alineación, balanceo y rotación de llantas, de acuerdo a la necesidad de EMCALI EICE ESP"/>
    <n v="678255048"/>
    <s v="28 DE NOVIEMBRE 2022"/>
    <s v="900-IPU-0238-2022"/>
    <m/>
    <n v="202201828"/>
    <n v="924139307"/>
    <s v="N/A"/>
    <s v="N/A"/>
    <s v="Mayor cuantia"/>
    <x v="0"/>
    <s v="LEIDY FRANCO"/>
    <d v="2022-04-01T00:00:00"/>
    <n v="-44650"/>
    <n v="-44652"/>
    <s v="SI"/>
    <s v="Entregado al area"/>
    <x v="1"/>
    <s v="20 de abril a la espera de inteligencias de mercado_x000a_5 de mayo en inteligencia de mercado_x000a_23 DE MAYO RESPUESTA A OBSERVACIONES_x000a_8 DE JUNIO EN EVALUACION SOBRE 1_x000a_17 DE JUNIO EN EVALUACION SOBRE 1_x000a_30 de junio en evaluacion sobre 2"/>
    <m/>
    <d v="2022-07-28T00:00:00"/>
    <x v="10"/>
    <m/>
    <n v="120"/>
    <n v="118"/>
    <x v="0"/>
    <s v="FUNCIONAMIENTO"/>
    <x v="142"/>
    <d v="2022-07-22T00:00:00"/>
    <n v="678255048"/>
    <s v="LLANTAS  E IMPORTACIONES SAGU SAS"/>
    <n v="202207253"/>
    <n v="0"/>
    <m/>
    <m/>
    <m/>
    <m/>
    <m/>
    <s v="BOGOTA"/>
    <s v="LOCAL"/>
    <s v="UNIDAD GESTIÓN ADMINISTRATIVA"/>
    <n v="0"/>
    <x v="1"/>
    <n v="2"/>
    <n v="95"/>
  </r>
  <r>
    <n v="196"/>
    <s v="0239"/>
    <x v="5"/>
    <d v="2022-03-30T00:00:00"/>
    <x v="3"/>
    <s v="GHA0075"/>
    <s v="FR-800-GAGHA-0147-2022"/>
    <s v="800-AC-2040-2021"/>
    <s v="Silla Interlocutora estructura metálica pintada, espaldar en carcasa plástica negra, tapizada en paño"/>
    <n v="1740970"/>
    <s v="30 dias"/>
    <s v="N/A"/>
    <m/>
    <n v="202202755"/>
    <n v="2000000"/>
    <s v="N/A"/>
    <s v="N/A"/>
    <s v="N/A"/>
    <x v="5"/>
    <s v="FRANCIA RAMÍREZ"/>
    <d v="2022-03-31T00:00:00"/>
    <n v="64"/>
    <n v="63"/>
    <s v="SI"/>
    <s v="Entregado al area"/>
    <x v="1"/>
    <s v="19 DE ABRIL SE RECIBIERON PROPUESTAS_x000a_27 DE ABRIL ENTREGADO AL AREA"/>
    <m/>
    <d v="2022-04-27T00:00:00"/>
    <x v="8"/>
    <m/>
    <n v="28"/>
    <n v="27"/>
    <x v="0"/>
    <s v="FUNCIONAMIENTO"/>
    <x v="143"/>
    <d v="2022-04-27T00:00:00"/>
    <n v="1323137"/>
    <s v="MADE MUEBLES DE COLOMBIA "/>
    <m/>
    <n v="417833"/>
    <m/>
    <m/>
    <s v="2022-094"/>
    <d v="2022-03-07T00:00:00"/>
    <m/>
    <s v="BOGOTA"/>
    <s v="NACIONAL"/>
    <m/>
    <n v="0.24000011487848727"/>
    <x v="1"/>
    <n v="0"/>
    <n v="28"/>
  </r>
  <r>
    <n v="197"/>
    <s v="0240"/>
    <x v="2"/>
    <d v="2022-03-31T00:00:00"/>
    <x v="3"/>
    <s v="N/A"/>
    <s v="FR-300-GAA-0107-2022"/>
    <s v="N/A"/>
    <s v="Suministrar Cloruro Férrico en base líquida al 42%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6-10T00:00:00"/>
    <x v="5"/>
    <s v="jun"/>
    <n v="71"/>
    <n v="70"/>
    <x v="3"/>
    <s v="FUNCIONAMIENTO"/>
    <x v="0"/>
    <m/>
    <m/>
    <m/>
    <m/>
    <e v="#VALUE!"/>
    <m/>
    <m/>
    <m/>
    <m/>
    <m/>
    <m/>
    <m/>
    <m/>
    <m/>
    <x v="0"/>
    <m/>
    <m/>
  </r>
  <r>
    <n v="198"/>
    <s v="0241"/>
    <x v="2"/>
    <d v="2022-03-31T00:00:00"/>
    <x v="3"/>
    <s v="N/A"/>
    <s v="FR-300-GAA-0108-2022"/>
    <s v="N/A"/>
    <s v="Suministrar Polímero acondicionante de lodos para deshidratación, utilizado en el proceso del tratamiento de las aguas residuales en la PTAR C."/>
    <s v="N/A"/>
    <m/>
    <s v="N/A"/>
    <s v=""/>
    <s v="N/A"/>
    <m/>
    <s v="N/A"/>
    <s v="N/A"/>
    <s v="N/A"/>
    <x v="3"/>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
    <d v="2022-08-09T00:00:00"/>
    <x v="5"/>
    <s v="ago"/>
    <n v="131"/>
    <n v="130"/>
    <x v="3"/>
    <s v="FUNCIONAMIENTO"/>
    <x v="0"/>
    <m/>
    <m/>
    <m/>
    <m/>
    <e v="#VALUE!"/>
    <m/>
    <m/>
    <m/>
    <m/>
    <m/>
    <m/>
    <m/>
    <m/>
    <m/>
    <x v="0"/>
    <m/>
    <m/>
  </r>
  <r>
    <n v="199"/>
    <s v="0242"/>
    <x v="2"/>
    <d v="2022-03-31T00:00:00"/>
    <x v="3"/>
    <s v="N/A"/>
    <s v="FR-300-GAA-0109-2022"/>
    <s v="N/A"/>
    <s v="Suministrar Polímero ayudante de floculación para ser utilizado en el tratamiento de las aguas residuales en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_x000a_18 de julio epsrnado reunion con el area_x000a_2 de agosto esprando reunion con el area para definir la situacion"/>
    <d v="2022-08-09T00:00:00"/>
    <x v="5"/>
    <s v="ago"/>
    <n v="131"/>
    <n v="130"/>
    <x v="3"/>
    <s v="FUNCIONAMIENTO"/>
    <x v="0"/>
    <m/>
    <m/>
    <m/>
    <m/>
    <e v="#VALUE!"/>
    <m/>
    <m/>
    <m/>
    <m/>
    <m/>
    <m/>
    <m/>
    <m/>
    <m/>
    <x v="0"/>
    <m/>
    <m/>
  </r>
  <r>
    <n v="200"/>
    <s v="0243"/>
    <x v="2"/>
    <d v="2022-03-31T00:00:00"/>
    <x v="3"/>
    <s v="N/A"/>
    <s v="FR-300-GAA-0110-2022"/>
    <s v="N/A"/>
    <s v="Suministrar producto para control de olores en el tratamiento de las aguas residuales de la PTAR C."/>
    <s v="N/A"/>
    <m/>
    <s v="900-IPU-0230-2022"/>
    <s v="IPU"/>
    <s v="N/A"/>
    <m/>
    <s v="N/A"/>
    <s v="N/A"/>
    <s v="N/A"/>
    <x v="0"/>
    <s v="AYDEE OVALLE"/>
    <d v="2022-04-01T00:00:00"/>
    <e v="#VALUE!"/>
    <e v="#VALUE!"/>
    <s v="NO"/>
    <s v="Devuelto"/>
    <x v="2"/>
    <m/>
    <s v="19 de abril en elaboracion de fpa_x000a_29 DE ABRIL  elaboracion de fpa_x000a_3 de mayo reasignado a francia ramirez_x000a_9 de mayo _x000a_18 de mayo se realizara un workshop con los proveedores y el area tecnica. En revision de requisitos tecnicos por parte del area_x000a_23 DE MAYO EN ELABORACION DE LA ESTRATEGIA PARA AJUSTAR PRECIOS CADA TRES MESES_x000a_10 de junio reunion con Adesco para definir situacion"/>
    <d v="2022-08-09T00:00:00"/>
    <x v="5"/>
    <s v="ago"/>
    <n v="131"/>
    <n v="130"/>
    <x v="3"/>
    <s v="FUNCIONAMIENTO"/>
    <x v="0"/>
    <m/>
    <m/>
    <m/>
    <m/>
    <e v="#VALUE!"/>
    <m/>
    <m/>
    <m/>
    <m/>
    <m/>
    <m/>
    <m/>
    <m/>
    <m/>
    <x v="0"/>
    <m/>
    <m/>
  </r>
  <r>
    <n v="201"/>
    <s v="0244"/>
    <x v="2"/>
    <d v="2022-03-31T00:00:00"/>
    <x v="3"/>
    <s v="GAA0215"/>
    <s v="FR-300-GAA-0083-2022"/>
    <s v="500-CMA-1743-2021"/>
    <s v="Suministro de cables electricos para la renovación de los componentes priorizado de la alimentación electrica de la PTAP Puerto Mallarino"/>
    <n v="878972722.60000002"/>
    <s v="45 dias"/>
    <s v="N/A"/>
    <m/>
    <s v="202202636_x000a_202202637"/>
    <m/>
    <s v="N/A"/>
    <s v="N/A"/>
    <s v="N/A"/>
    <x v="1"/>
    <s v="ESTEFANIA SANCHEZ"/>
    <d v="2022-03-31T00:00:00"/>
    <n v="-44651"/>
    <n v="-44651"/>
    <s v="SI"/>
    <s v="Entregado al area"/>
    <x v="1"/>
    <s v="5 de abril en elaboracion de fpa_x000a_5 DE MAYO A LA ESPERA QUE EL PROVEEDOR SE ACOJA A LOS PRECIOSA TECHO_x000a_24 DE MAYO RECEPCION DE OFERTA_x000a_9 de junio esperando polizas del proveedor"/>
    <m/>
    <d v="2022-06-13T00:00:00"/>
    <x v="10"/>
    <m/>
    <n v="74"/>
    <n v="74"/>
    <x v="0"/>
    <s v="INVERSION"/>
    <x v="144"/>
    <d v="2022-05-31T00:00:00"/>
    <n v="878966428"/>
    <s v="CABLES DE ENERGIA Y TELECOMUNICACIONES SA"/>
    <n v="202205675"/>
    <n v="6294.6000000238419"/>
    <m/>
    <m/>
    <m/>
    <m/>
    <m/>
    <s v="YUMBO"/>
    <s v="MUNICIPAL"/>
    <s v="UNIDAD DE MANTENIMIENTO"/>
    <n v="7.1613143823217E-6"/>
    <x v="0"/>
    <n v="0"/>
    <n v="74"/>
  </r>
  <r>
    <n v="202"/>
    <s v="0245"/>
    <x v="2"/>
    <d v="2022-03-31T00:00:00"/>
    <x v="3"/>
    <s v="GAA0262_x000a_GAA0626_x000a_GAA0640"/>
    <s v="FR-300-GAA-0094-2022"/>
    <s v="N/A"/>
    <s v="OVERHOULT y mantenimientos electromecanicos para los equipos de la PTAP de Puerto Mallarino"/>
    <n v="1256996319"/>
    <s v="31 DE DICIEMBRE 2022"/>
    <s v="900-IPU-0217-2022"/>
    <m/>
    <s v="202200891_x000a_202202898_x000a_202202900"/>
    <m/>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
    <m/>
    <d v="2022-09-02T00:00:00"/>
    <x v="11"/>
    <m/>
    <n v="155"/>
    <n v="151"/>
    <x v="0"/>
    <s v="FUNCIONAMIENTO"/>
    <x v="145"/>
    <d v="2022-08-19T00:00:00"/>
    <n v="1256995507"/>
    <s v="PAYAN Y CIA LTDA "/>
    <n v="202208261"/>
    <n v="812"/>
    <m/>
    <m/>
    <m/>
    <m/>
    <m/>
    <s v="CALI"/>
    <s v="LOCAL"/>
    <s v="UNIDAD DE MANTENIMIENTO"/>
    <n v="6.4598438971244116E-7"/>
    <x v="0"/>
    <n v="2"/>
    <n v="109"/>
  </r>
  <r>
    <n v="203"/>
    <s v="0246"/>
    <x v="2"/>
    <d v="2022-03-31T00:00:00"/>
    <x v="3"/>
    <s v="GAA0639_x000a_GAA0663"/>
    <s v="FR-300-GAA-0102-2022"/>
    <s v="N/A"/>
    <s v="Suministro de equipos CHEMTRAC para plantas de tratamiento de Agua Potable"/>
    <n v="134184400"/>
    <m/>
    <s v="900-IPU-0246-2022"/>
    <s v="IPU"/>
    <n v="202202921"/>
    <m/>
    <s v="N/A"/>
    <s v="N/A"/>
    <s v="Menor cuantia"/>
    <x v="0"/>
    <s v="PAOLA BELTRAN"/>
    <d v="2022-04-06T00:00:00"/>
    <e v="#VALUE!"/>
    <e v="#VALUE!"/>
    <s v="NO"/>
    <s v="CERRADO PARA TRAMITAR COMO IP "/>
    <x v="0"/>
    <m/>
    <s v="20 DE ABRIL EN INTELIGENCIA DE MERCADO_x000a_17 de mayo en inteligencia de mercado_x000a_24 DE MAYO EN INTELIGENCIA DE MERCADO_x000a_8 de junio se cierra porque se va a tramitar por ip despues de la ley de garantias"/>
    <d v="2022-06-08T00:00:00"/>
    <x v="5"/>
    <s v="jun"/>
    <n v="69"/>
    <n v="63"/>
    <x v="3"/>
    <s v="INVERSION"/>
    <x v="0"/>
    <m/>
    <m/>
    <m/>
    <m/>
    <m/>
    <e v="#VALUE!"/>
    <m/>
    <m/>
    <m/>
    <m/>
    <m/>
    <m/>
    <m/>
    <m/>
    <x v="0"/>
    <m/>
    <m/>
  </r>
  <r>
    <n v="204"/>
    <s v="0247"/>
    <x v="2"/>
    <d v="2022-03-31T00:00:00"/>
    <x v="3"/>
    <s v="GAA0351"/>
    <s v="FR-300-GAA-0119-2022"/>
    <s v="N/A"/>
    <s v="Realizar la restitución de andenes y calzadas por reparaciones de daños en la red de alcantarillado y reposición o construcción de acometidas domiciliares y sumideros en la ciudad de Santiago de Cali."/>
    <n v="1819978575"/>
    <s v="5 MESES"/>
    <s v="900-IPU-0247-2022"/>
    <m/>
    <n v="202200910"/>
    <n v="1819978575"/>
    <s v="N/A"/>
    <s v="N/A"/>
    <s v="Mayor cuantia"/>
    <x v="0"/>
    <s v="HAROLD MONDRAGON"/>
    <d v="2022-04-04T00:00:00"/>
    <n v="-44651"/>
    <n v="-44655"/>
    <s v="SI"/>
    <s v="Entregado al area"/>
    <x v="1"/>
    <s v="5 de abril en solicitud de conceptos_x000a_20 DE ABRIL EN ELABORACION DE FPA Y CC_x000a_5 DE MAYO EN RESPUESTA A OBSERVACIONES_x000a_5 DE MAYO REASIGNADO A JUAN PABLO LO TENIA VIAGNERY CONTINUA EN ELABORACIO DE FPA_x000a_17 de mayo en subsanables_x000a_9 de junio en evalaucion sobre 1 _x000a_17 DE JUNIO ESPERANDO EL RUT DEL CONSORCIO_x000a_30 DE JUNIO EN SOLICITUD DE POLIZAS_x000a_07 DE JULIO ENTREGADO AL AREA"/>
    <m/>
    <d v="2022-07-07T00:00:00"/>
    <x v="10"/>
    <m/>
    <n v="98"/>
    <n v="94"/>
    <x v="0"/>
    <s v="FUNCIONAMIENTO"/>
    <x v="146"/>
    <d v="2022-06-16T00:00:00"/>
    <n v="1795043027"/>
    <s v="CONSORCIO HA SP5-0247-2022"/>
    <n v="202205854"/>
    <n v="24935548"/>
    <m/>
    <m/>
    <m/>
    <m/>
    <m/>
    <m/>
    <m/>
    <s v="UNIDAD DE RECOLECCION"/>
    <n v="1.3701011837460779E-2"/>
    <x v="0"/>
    <n v="2"/>
    <n v="88"/>
  </r>
  <r>
    <n v="205"/>
    <s v="0248"/>
    <x v="0"/>
    <d v="2022-03-31T00:00:00"/>
    <x v="3"/>
    <s v="GT0132"/>
    <s v="FR-400-GT-0153-2022"/>
    <s v="400-CMA-1353-2020"/>
    <s v="Suministro de cables de fibra óptica requeridos para la expansión, optimización, operación y mantenimiento de las redes de acceso de la Gerencia de Unidad Estratégica Negocio de Telecomunicaciones, de acuerdo con los requisitos técnicos de las condiciones generales y específicas de la contratación (CEC Y CGC)."/>
    <n v="2032427768"/>
    <s v="28 d enoviembre 2022"/>
    <s v="N/A"/>
    <m/>
    <s v="202202435_x000a_202202352_x000a_202202353_x000a_202202355_x000a_202202354"/>
    <n v="2032427768"/>
    <s v="N/A"/>
    <s v="N/A"/>
    <s v="N/A"/>
    <x v="1"/>
    <s v="ESTEFANIA SANCHEZ"/>
    <d v="2022-03-31T00:00:00"/>
    <n v="-44651"/>
    <n v="-44651"/>
    <s v="SI"/>
    <s v="Entregado al area"/>
    <x v="1"/>
    <s v="5 DE MAYO RESPUESTA A OBSERVACIONES_x000a_24 DE MAYO EN ACEPTACION DE LA OFERTA_x000a_9 de junio esperando polizas de los proveedores_x000a_30 de junio en espera de la polizas"/>
    <m/>
    <d v="2022-06-28T00:00:00"/>
    <x v="10"/>
    <m/>
    <n v="89"/>
    <n v="89"/>
    <x v="0"/>
    <s v="FUNCIONAMIENTO"/>
    <x v="147"/>
    <s v="06/06/202"/>
    <n v="2032414666"/>
    <s v="MATRIX TELCOM LTDA_x000a_ELECTROCIVILES SAS_x000a_ENERGITEL SAS"/>
    <n v="202205740"/>
    <n v="13102"/>
    <m/>
    <m/>
    <m/>
    <m/>
    <m/>
    <s v="BOGOTA_x000a_RISALRALDA"/>
    <s v="NACIONAL"/>
    <s v="UNIDAD DE MANTTO RED FISICA"/>
    <n v="6.4464775606234484E-6"/>
    <x v="0"/>
    <n v="0"/>
    <n v="89"/>
  </r>
  <r>
    <n v="206"/>
    <s v="0249"/>
    <x v="2"/>
    <d v="2022-03-31T00:00:00"/>
    <x v="3"/>
    <s v="GAA0657"/>
    <s v="FR-300-GAA-0092-2022"/>
    <s v="N/A"/>
    <s v="Consultoría para la formulación del plan de gestión de riesgos para el manejo de vertimientos (PGRMV) de la planta de tratamiento de aguas residuales Cañaveralejo - PTAR-C de EMCALI EICE ESP"/>
    <n v="880000000"/>
    <m/>
    <s v="900-IPU-0249-2022"/>
    <s v="IPU"/>
    <n v="202202407"/>
    <n v="880000000"/>
    <s v="N/A"/>
    <s v="N/A"/>
    <s v="Mayor cuantia"/>
    <x v="0"/>
    <s v="CRISTHIAN BURBANO"/>
    <d v="2022-04-04T00:00:00"/>
    <e v="#VALUE!"/>
    <e v="#VALUE!"/>
    <s v="NO"/>
    <s v="Cerrado"/>
    <x v="0"/>
    <m/>
    <s v="5 de abril en solicitud de conceptos_x000a_19 DE ABRIL EN ELABORACION DE LA FPA_x000a_4 de mayo enr evision gae_x000a_10 de mayo publicado_x000a_17 de mayo en rececpion de observaciones_x000a_24 DE MAYO EN RECEPCION DE OFERTAS_x000a_9 DE JUNIO CERRADO PORQUE NO SE PRESENTO NADIE"/>
    <d v="2022-06-09T00:00:00"/>
    <x v="5"/>
    <s v="jun"/>
    <n v="70"/>
    <n v="66"/>
    <x v="3"/>
    <s v="FUNCIONAMIENTO"/>
    <x v="0"/>
    <m/>
    <m/>
    <m/>
    <m/>
    <m/>
    <e v="#VALUE!"/>
    <m/>
    <m/>
    <m/>
    <m/>
    <m/>
    <m/>
    <m/>
    <m/>
    <x v="0"/>
    <m/>
    <m/>
  </r>
  <r>
    <n v="207"/>
    <s v="0250"/>
    <x v="2"/>
    <d v="2022-03-31T00:00:00"/>
    <x v="3"/>
    <s v="GAA0651"/>
    <s v="FR-300-GAA-0087-2022"/>
    <s v="N/A"/>
    <s v="Suministro de equipos de Automatismo y Telemetría"/>
    <n v="244211285"/>
    <m/>
    <s v="900-IPU-0250-2022"/>
    <s v="IPU"/>
    <n v="202201156"/>
    <m/>
    <s v="N/A"/>
    <s v="N/A"/>
    <s v="Menor cuantia"/>
    <x v="0"/>
    <s v="HAROLD MONDRAGON"/>
    <d v="2022-04-06T00:00:00"/>
    <e v="#VALUE!"/>
    <e v="#VALUE!"/>
    <s v="NO"/>
    <s v="CERRADO PARA TRAMITAR COMO IP "/>
    <x v="0"/>
    <m/>
    <s v="25 DE ABRIL REASIGNAD0 A HAROLD MONDRAGON POR PARTE DE ANA MARIA GIL_x000a_9 de mayo en elaboracion de la fpa y cc_x000a_17 de mayo en inteligencia de mercado_x000a_24 DE MAYO EN INTELIGENCIA DE MERCADO"/>
    <d v="2022-05-25T00:00:00"/>
    <x v="5"/>
    <s v="may"/>
    <n v="55"/>
    <n v="49"/>
    <x v="3"/>
    <s v="INVERSION"/>
    <x v="0"/>
    <m/>
    <m/>
    <m/>
    <m/>
    <m/>
    <e v="#VALUE!"/>
    <m/>
    <m/>
    <m/>
    <m/>
    <m/>
    <m/>
    <m/>
    <m/>
    <x v="0"/>
    <m/>
    <m/>
  </r>
  <r>
    <n v="208"/>
    <s v="0251"/>
    <x v="2"/>
    <d v="2022-03-31T00:00:00"/>
    <x v="3"/>
    <s v="GAA0260_x000a_GAA0622_x000a_GAA0638"/>
    <s v="FR-300-GAA-0089-2022"/>
    <s v="N/A"/>
    <s v="OVERHOULT Equipos electromecanicos de las Estaciones de Bombeo de Agua Potable"/>
    <n v="501702643"/>
    <s v="31 DE DICIEMBRE 2022"/>
    <s v="900-IPU-0217-2022"/>
    <m/>
    <s v="202202901_x000a_202202902_x000a_202202903"/>
    <n v="501702643"/>
    <s v="N/A"/>
    <s v="N/A"/>
    <s v="Mayor cuantia"/>
    <x v="0"/>
    <s v="HAROLD MONDRAGON"/>
    <d v="2022-04-04T00:00:00"/>
    <e v="#VALUE!"/>
    <e v="#VALUE!"/>
    <s v="SI"/>
    <s v="Entregado al area"/>
    <x v="1"/>
    <s v="5 de abril en solicitud de conceptos_x000a_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1 de agosto en comite sobre 2_x000a_"/>
    <m/>
    <d v="2022-09-02T00:00:00"/>
    <x v="11"/>
    <m/>
    <n v="155"/>
    <n v="151"/>
    <x v="0"/>
    <s v="INVERSION"/>
    <x v="148"/>
    <d v="2022-08-19T00:00:00"/>
    <n v="496040076"/>
    <s v="PAYAN Y CIA LTDA "/>
    <n v="202208260"/>
    <n v="5662567"/>
    <m/>
    <m/>
    <m/>
    <m/>
    <m/>
    <s v="CALI"/>
    <s v="LOCAL"/>
    <s v="UNIDAD DE MANTENIMIENTO"/>
    <n v="1.1286699560002118E-2"/>
    <x v="0"/>
    <n v="2"/>
    <n v="109"/>
  </r>
  <r>
    <n v="209"/>
    <s v="0252"/>
    <x v="2"/>
    <d v="2022-04-01T00:00:00"/>
    <x v="4"/>
    <s v="GAA0173"/>
    <s v="FR-300-GAA-0111-2022"/>
    <s v="N/A"/>
    <s v="Mitigación de inundaciones comuna 6 y valvulas antiretorno sectores varios 2022"/>
    <n v="999326770"/>
    <s v="31 DE DICIEMBRE 2022"/>
    <s v="900-IPU-0252-2022"/>
    <m/>
    <n v="202202779"/>
    <n v="1000000000"/>
    <s v="N/A"/>
    <s v="N/A"/>
    <s v="Mayor cuantia"/>
    <x v="0"/>
    <s v="HAROLD MONDRAGON"/>
    <d v="2022-04-06T00:00:00"/>
    <n v="-44652"/>
    <n v="-44657"/>
    <s v="SI"/>
    <s v="Entregado al area"/>
    <x v="1"/>
    <s v="5 de abril en solicitud de conceptos_x000a_20 DE ABRIL EN ELABORACION DE FPA Y CC_x000a_6 DE MAYO REASIGNADO A HAROLD MONDRAGON_x000a_9 de mayo en recepcion de ofertas_x000a_17 de mayo esperando subsanables_x000a_24 DE MAYO EN EVALUACION SOBRE 2_x000a_9 DE JUNIO ESPERANDO  COMITÉ_x000a_30 de junio esperando las polizas por parte del proveedor"/>
    <m/>
    <d v="2022-07-28T00:00:00"/>
    <x v="10"/>
    <m/>
    <n v="118"/>
    <n v="113"/>
    <x v="0"/>
    <s v="INVERSION"/>
    <x v="149"/>
    <d v="2022-06-16T00:00:00"/>
    <n v="981049546"/>
    <s v="ALVARO LAZARO DEL VALLE"/>
    <m/>
    <n v="18277224"/>
    <m/>
    <m/>
    <m/>
    <m/>
    <m/>
    <m/>
    <m/>
    <s v="UNIDAD DE INGENIERIA"/>
    <n v="1.8289537065038296E-2"/>
    <x v="0"/>
    <n v="2"/>
    <n v="98"/>
  </r>
  <r>
    <n v="210"/>
    <s v="0253"/>
    <x v="2"/>
    <d v="2022-04-01T00:00:00"/>
    <x v="4"/>
    <s v="GAA0174"/>
    <s v="FR-300-GAA-0126-2022"/>
    <s v="N/A"/>
    <s v="Obras PSMV Optimización y mejoramiento drenaje sectores varios - control de vertimientos canal oriental y entrega Río Cali"/>
    <n v="1234403575"/>
    <m/>
    <s v="900-IPU-0253-2022"/>
    <m/>
    <n v="202202780"/>
    <m/>
    <s v="N/A"/>
    <s v="N/A"/>
    <s v="Mayor cuantia"/>
    <x v="0"/>
    <s v="HAROLD MONDRAGON"/>
    <d v="2022-04-06T00:00:00"/>
    <n v="-44652"/>
    <n v="-44657"/>
    <s v="SI"/>
    <s v="Entregado al area"/>
    <x v="1"/>
    <s v="5 de abril en solicitud de conceptos_x000a_20 DE ABRIL EN ELABORACION DE FPA Y CC_x000a_6 DE MAYO REASIGNADO A HAROLD MONDRAGON_x000a_9 de mayo en elaboracion de la fpa y cc_x000a_17 de mayo esperando subsanables_x000a_24 DE MAYO EN EVALUACION SOBRE 2_x000a_9 DE JUNIO ESPERANDO  COMITÉ_x000a_30 de junio esperando las polizas por parte del proveedor_x000a_18 de julio en aprobacion de polizas_x000a_1 de agosto en aprobacion de polizas"/>
    <m/>
    <d v="2022-07-13T00:00:00"/>
    <x v="10"/>
    <m/>
    <n v="103"/>
    <n v="98"/>
    <x v="0"/>
    <s v="INVERSION"/>
    <x v="150"/>
    <d v="2022-06-16T00:00:00"/>
    <n v="1212692702"/>
    <s v="ALVARO LAZARO DEL VALLE"/>
    <n v="202206262"/>
    <n v="21710873"/>
    <m/>
    <m/>
    <m/>
    <m/>
    <m/>
    <s v="CALI"/>
    <s v="LOCAL"/>
    <s v="UNIDAD DE INGENIERIA"/>
    <n v="1.7588148187273354E-2"/>
    <x v="0"/>
    <n v="2"/>
    <n v="103"/>
  </r>
  <r>
    <n v="211"/>
    <s v="0254"/>
    <x v="2"/>
    <d v="2022-04-04T00:00:00"/>
    <x v="4"/>
    <s v="GAA0254"/>
    <s v="FR-300-GAA-0122-2022"/>
    <s v="N/A"/>
    <s v="Suministro e instalación de generador Planta Puerto Mallarino"/>
    <n v="589996150"/>
    <m/>
    <s v="900-IPU-0254-2022"/>
    <s v="IPU"/>
    <n v="202202190"/>
    <m/>
    <s v="N/A"/>
    <s v="N/A"/>
    <s v="Mayor cuantia"/>
    <x v="0"/>
    <s v="HAROLD MONDRAGON"/>
    <d v="2022-04-21T00:00:00"/>
    <e v="#VALUE!"/>
    <e v="#VALUE!"/>
    <s v="NO"/>
    <s v="Cerrado"/>
    <x v="0"/>
    <m/>
    <s v="9 de mayo en elaboracion de la fpa y cc_x000a_17 de mayo en inteligencia de mercado_x000a_24 DE MAYO EN INTELIGENCIA DE MERCADO_x000a_9 DE JUNIO PUBLICADO EN RECEPCION DE OBSERVACIONES_x000a_30 DE JUNIO EN SOLICITUD DE POLIZAS Y RP_x000a_18 DE JULIO REALIZANDO ACTA DE CIERRE PORQUE NO QUEDO NINGUN IDONEO Y SE SACARA POR LITERAL B"/>
    <d v="2022-07-18T00:00:00"/>
    <x v="5"/>
    <s v="jul"/>
    <n v="105"/>
    <n v="88"/>
    <x v="3"/>
    <s v="INVERSION"/>
    <x v="0"/>
    <m/>
    <m/>
    <m/>
    <m/>
    <m/>
    <m/>
    <m/>
    <m/>
    <m/>
    <m/>
    <m/>
    <m/>
    <m/>
    <m/>
    <x v="0"/>
    <m/>
    <m/>
  </r>
  <r>
    <n v="212"/>
    <s v="0255"/>
    <x v="2"/>
    <d v="2022-04-04T00:00:00"/>
    <x v="4"/>
    <s v="GAA0257"/>
    <s v="FR-300-GAA-0125-2022"/>
    <s v="N/A"/>
    <s v="Suministro de Soplador Lobular con variador de velocidad y complementarios"/>
    <n v="259196806"/>
    <m/>
    <s v="900-IPU-0255-2022"/>
    <m/>
    <n v="202202847"/>
    <m/>
    <s v="N/A"/>
    <s v="N/A"/>
    <s v="Menor cuantia"/>
    <x v="0"/>
    <s v="HAROLD MONDRAGON"/>
    <d v="2022-04-21T00:00:00"/>
    <n v="-44655"/>
    <n v="-44672"/>
    <s v="SI"/>
    <s v="Entregado al area"/>
    <x v="1"/>
    <s v="9 de mayo en elaboracion de la fpa y cc_x000a_17 de mayo publicado_x000a_1 DE JUNIO SE RECIBEN OFERTAS_x000a_18 DE JULIO EN SOLICITUD DE POLIZAS_x000a_"/>
    <m/>
    <d v="2022-07-29T00:00:00"/>
    <x v="10"/>
    <m/>
    <n v="116"/>
    <n v="99"/>
    <x v="0"/>
    <s v="INVERSION"/>
    <x v="151"/>
    <d v="2022-07-15T00:00:00"/>
    <n v="259196755"/>
    <s v="KAESER COMPRESORES DE COLOMBIA SAS"/>
    <n v="202207212"/>
    <n v="51"/>
    <m/>
    <m/>
    <m/>
    <m/>
    <m/>
    <s v="MUNICIPIO DE TENJO CUNDINAMARCA"/>
    <s v="NACIONAL"/>
    <s v="UNIDAD DE MANTENIMIENTO"/>
    <n v="1.9676168386118153E-7"/>
    <x v="0"/>
    <n v="2"/>
    <n v="116"/>
  </r>
  <r>
    <n v="213"/>
    <s v="0256"/>
    <x v="2"/>
    <d v="2022-04-04T00:00:00"/>
    <x v="4"/>
    <s v="GAA0648"/>
    <s v="FR-300-GAA-0128-2022"/>
    <s v="N/A"/>
    <s v="Acondicionamiento electrico de la subestación electrica No 1 (Suministro celdas media tensión) para PTAP Río Cali"/>
    <n v="1635626144"/>
    <s v="90 dias"/>
    <s v="900-IPU-0256-2022"/>
    <m/>
    <n v="202202658"/>
    <n v="1635626144"/>
    <s v="N/A"/>
    <s v="N/A"/>
    <s v="Mayor cuantia"/>
    <x v="0"/>
    <s v="HAROLD MONDRAGON"/>
    <d v="2022-04-06T00:00:00"/>
    <n v="-44655"/>
    <n v="-44657"/>
    <s v="SI"/>
    <s v="Entregado al area"/>
    <x v="1"/>
    <s v="5 de abril en solicitud de conceptos_x000a_20 DE ABRIL EN ELABORACION DE FPA Y CC_x000a_5 DE MAYO REASIGNADO A JUAN PABLO LO TENIA VIAGNERY CONTINUA EN ELABORACIO DE FPA_x000a_17 de mayo en recepcion de ofertas_x000a_9 de junio en evaluacion_x000a_17 DE JUNIO EN EVALUACION_x000a_30 DE JUNIO EN PUBLICACION DE INFORME DE EVALUACION_x000a_18 DE JULIO EN APROBACION DE POLIZAS_x000a_18 de julio entregado al area"/>
    <m/>
    <d v="2022-07-18T00:00:00"/>
    <x v="10"/>
    <m/>
    <n v="105"/>
    <n v="103"/>
    <x v="0"/>
    <s v="INVERSION"/>
    <x v="152"/>
    <d v="2022-07-07T00:00:00"/>
    <n v="1634974621"/>
    <s v="SOPORTE A LA INGENIERIA SAS"/>
    <n v="202206979"/>
    <n v="651523"/>
    <m/>
    <m/>
    <m/>
    <m/>
    <m/>
    <s v="CALI"/>
    <s v="LOCAL"/>
    <s v="UNIDAD DE OPERACIÓN"/>
    <n v="3.9833246881629692E-4"/>
    <x v="0"/>
    <n v="2"/>
    <n v="105"/>
  </r>
  <r>
    <n v="214"/>
    <s v="0257"/>
    <x v="2"/>
    <d v="2022-04-07T00:00:00"/>
    <x v="4"/>
    <s v="GAA0670"/>
    <s v="FR-300-GAA-0258-2021"/>
    <s v="N/A"/>
    <s v="Rehabilitar los componentes priorizados de las estructuras de Captación y Pretratamiento de la PTAP Río Cali."/>
    <n v="936000000"/>
    <m/>
    <s v="900-IPU-0257-2022"/>
    <s v="IPU"/>
    <m/>
    <m/>
    <s v="108-202100108"/>
    <m/>
    <s v="Mayor cuantia"/>
    <x v="0"/>
    <s v="PABLO CAICEDO"/>
    <d v="2022-04-06T00:00:00"/>
    <e v="#VALUE!"/>
    <e v="#VALUE!"/>
    <s v="NO"/>
    <s v="Cerrado"/>
    <x v="0"/>
    <m/>
    <s v="20 DE ABRIL EN REVISION DE LA FPA_x000a_5 DE MAYO EN RESPUESTA A OBSRVACIONES_x000a_17 de mayo en evaluacion sobre 1_x000a_06/06/2022 CERRADO  PORQUE EL OFERENTE NO SUBASANO"/>
    <d v="2022-06-06T00:00:00"/>
    <x v="5"/>
    <s v="jun"/>
    <n v="60"/>
    <n v="61"/>
    <x v="3"/>
    <s v="INVERSION"/>
    <x v="0"/>
    <m/>
    <m/>
    <m/>
    <m/>
    <m/>
    <m/>
    <m/>
    <m/>
    <m/>
    <m/>
    <m/>
    <m/>
    <m/>
    <m/>
    <x v="0"/>
    <m/>
    <m/>
  </r>
  <r>
    <n v="215"/>
    <s v="0258"/>
    <x v="1"/>
    <d v="2022-04-07T00:00:00"/>
    <x v="4"/>
    <s v="GE0189"/>
    <s v="FR-500-GE-0193-2022"/>
    <s v="N/A"/>
    <s v="Calibración de equipos de Medición"/>
    <n v="21000000"/>
    <m/>
    <s v="900-IPU-0258-2022"/>
    <s v="IPU"/>
    <n v="202203515"/>
    <s v=","/>
    <s v="N/A"/>
    <s v="N/A"/>
    <s v="Menor cuantia"/>
    <x v="0"/>
    <s v="ANA MARIA GIL"/>
    <d v="2022-04-21T00:00:00"/>
    <e v="#VALUE!"/>
    <e v="#VALUE!"/>
    <s v="NO"/>
    <s v="CERRADO PARA TRAMITAR COMO IP "/>
    <x v="0"/>
    <m/>
    <s v="5 DE MAYO EN INTELIGENCIA DE MERCADO POR VIVIANA SALDARRIAGA_x000a_17 DE MAYO EN REVISION DE LA FPA Y CC_x000a_24 DEMAYO EN REVISION DE LA CC_x000a_2 DE JUNIO SE TRAMITARA COMO PRIVADA"/>
    <d v="2022-06-02T00:00:00"/>
    <x v="5"/>
    <s v="jun"/>
    <n v="56"/>
    <n v="42"/>
    <x v="3"/>
    <s v="FUNCIONAMIENTO"/>
    <x v="0"/>
    <m/>
    <m/>
    <m/>
    <m/>
    <m/>
    <m/>
    <m/>
    <m/>
    <m/>
    <m/>
    <m/>
    <m/>
    <m/>
    <m/>
    <x v="0"/>
    <m/>
    <m/>
  </r>
  <r>
    <n v="216"/>
    <s v="0259"/>
    <x v="2"/>
    <d v="2022-04-07T00:00:00"/>
    <x v="4"/>
    <s v="GAA0407"/>
    <s v="FR-300-GAA-0124-2022"/>
    <s v="N/A"/>
    <s v="Servicio de transporte, recolección y disposición de arenas, hilazas y biosolidos generados en el tratamiento de las aguas residuales en la PTAR-C"/>
    <n v="299999952"/>
    <m/>
    <s v="900-IPU-0259-2022"/>
    <s v="IPU"/>
    <n v="202201857"/>
    <m/>
    <s v="N/A"/>
    <s v="N/A"/>
    <s v="Menor cuantia"/>
    <x v="0"/>
    <s v="ANA MARIA GIL"/>
    <d v="2022-04-26T00:00:00"/>
    <e v="#VALUE!"/>
    <e v="#VALUE!"/>
    <s v="NO"/>
    <s v="CERRADO PARA TRAMITAR COMO IP "/>
    <x v="0"/>
    <m/>
    <s v="5 DE MAYO EN INTELIGENCIA DE MERCADO POR MARIO AREVALO_x000a_17 de mayo en inteligencia de mercado_x000a_23 DE MAYO EN INTELEIGENCIA DE MERCADO_x000a_2 DE JUNIO SE TRAMITARA COMO PRIVADA"/>
    <d v="2022-06-02T00:00:00"/>
    <x v="5"/>
    <s v="jun"/>
    <n v="56"/>
    <n v="37"/>
    <x v="3"/>
    <s v="FUNCIONAMIENTO"/>
    <x v="0"/>
    <m/>
    <m/>
    <m/>
    <m/>
    <m/>
    <m/>
    <m/>
    <m/>
    <m/>
    <m/>
    <m/>
    <m/>
    <m/>
    <m/>
    <x v="0"/>
    <m/>
    <m/>
  </r>
  <r>
    <n v="217"/>
    <s v="0260"/>
    <x v="2"/>
    <d v="2022-05-07T00:00:00"/>
    <x v="5"/>
    <s v="GAA0664"/>
    <s v="FR-300-GAA-0129-2022"/>
    <s v="N/A"/>
    <s v="OVERHOULT equipos electromecanicos de las estaciones de bombeo de agua potable"/>
    <n v="118131300"/>
    <s v="31 DE DICIEMBRE 2022"/>
    <s v="900-IPU-0217-2022"/>
    <m/>
    <n v="202203083"/>
    <n v="120000000"/>
    <s v="N/A"/>
    <s v="N/A"/>
    <s v="Menor cuantia"/>
    <x v="0"/>
    <s v="HAROLD MONDRAGON"/>
    <d v="2022-04-18T00:00:00"/>
    <e v="#VALUE!"/>
    <e v="#VALUE!"/>
    <s v="SI"/>
    <s v="Entregado al area"/>
    <x v="1"/>
    <s v="20 DE ABRIL EN INTELIGENCIA DE MERCADO_x000a_ EN INTELIGENCIA DE MERCADO_x000a_17 de mayo en elaboracion de fpa y cc_x000a_24 DE MAYO SE ENTREGA PARA REVISION LA FPA_x000a_9 DE JUNIO EN REVISION DE FPA Y CC_x000a_17 DE JUNIO EN RESPUES A OBSERVACIONES_x000a_30 DE JUNIO EN RECEPCION DE OFERTAS_x000a_18 de julio en evaluacion sobre 1_x000a__x000a_1 de agosto en comite sobre 2"/>
    <m/>
    <d v="2022-09-02T00:00:00"/>
    <x v="11"/>
    <m/>
    <n v="118"/>
    <n v="137"/>
    <x v="0"/>
    <s v="INVERSION"/>
    <x v="153"/>
    <d v="2022-08-19T00:00:00"/>
    <n v="116874660"/>
    <s v="PAYAN Y CIA LTDA "/>
    <n v="202208263"/>
    <n v="1256640"/>
    <m/>
    <m/>
    <m/>
    <m/>
    <m/>
    <s v="CALI"/>
    <s v="LOCAL"/>
    <s v="UNIDAD DE MANTENIMIENTO"/>
    <n v="1.0637654880628589E-2"/>
    <x v="0"/>
    <n v="2"/>
    <n v="109"/>
  </r>
  <r>
    <n v="218"/>
    <s v="0261"/>
    <x v="2"/>
    <d v="2022-04-07T00:00:00"/>
    <x v="4"/>
    <s v="GAA0583"/>
    <s v="FR-300-GAA-0130-2022"/>
    <s v="300-CMA-1974-2020"/>
    <s v="Suministro de materiales de ferreteria asociados con la ejecución de acometidas de acueducto afines para EMCALI EICE ESP"/>
    <n v="1976707016"/>
    <s v="18 DE NOVIEMBRE 2022"/>
    <s v="N/A"/>
    <m/>
    <n v="20220278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x v="0"/>
    <s v="FUNCIONAMIENTO"/>
    <x v="154"/>
    <d v="2022-05-31T00:00:00"/>
    <n v="1976707016"/>
    <s v="EQUIPOS Y HERRAMIENTAS INDUSTRIALES SAS"/>
    <n v="202205653"/>
    <n v="0"/>
    <m/>
    <m/>
    <m/>
    <m/>
    <m/>
    <s v="CALI"/>
    <s v="LOCAL"/>
    <m/>
    <n v="0"/>
    <x v="0"/>
    <n v="0"/>
    <n v="67"/>
  </r>
  <r>
    <n v="219"/>
    <s v="0262"/>
    <x v="2"/>
    <d v="2022-04-07T00:00:00"/>
    <x v="4"/>
    <s v="GAA0271"/>
    <s v="FR-300-GAA-0131-2022"/>
    <s v="300-CM-1794-2020"/>
    <s v="Compra de valvulas para la Unidad de Distribución"/>
    <n v="207306980"/>
    <m/>
    <s v="N/A"/>
    <m/>
    <n v="202200775"/>
    <m/>
    <s v="N/A"/>
    <s v="N/A"/>
    <s v="N/A"/>
    <x v="1"/>
    <s v="LUCY ARBELAEZ"/>
    <d v="2022-04-08T00:00:00"/>
    <e v="#REF!"/>
    <e v="#REF!"/>
    <s v="SI"/>
    <s v="Entregado al area"/>
    <x v="1"/>
    <s v="31 DE MARZO ADELANTANDO OTRO SI PARA AJUSTE DE PRECIOS_x000a_20 DE ABRIL ESPERANDO OTRO SI _x000a_17 de mayo en invitacion de ofertas_x000a_23 DE MAYO EN ACEPTACION DE OFERTA_x000a_9 de junio en aprobacion de garantia"/>
    <m/>
    <d v="2022-06-13T00:00:00"/>
    <x v="9"/>
    <m/>
    <n v="67"/>
    <n v="66"/>
    <x v="0"/>
    <s v="FUNCIONAMIENTO"/>
    <x v="155"/>
    <d v="2022-05-31T00:00:00"/>
    <n v="207306980"/>
    <s v="EQUIPOS Y HERRAMIENTAS INDUSTRIALES SAS"/>
    <n v="202205662"/>
    <n v="0"/>
    <m/>
    <m/>
    <m/>
    <m/>
    <m/>
    <s v="EQUIPOS Y HERRAMIENTAS INDUSTRIALES SAS"/>
    <s v="CALI"/>
    <m/>
    <n v="0"/>
    <x v="0"/>
    <n v="0"/>
    <n v="67"/>
  </r>
  <r>
    <n v="220"/>
    <s v="0263"/>
    <x v="2"/>
    <d v="2022-04-07T00:00:00"/>
    <x v="4"/>
    <s v="GAA0662"/>
    <s v="FR-300-GAA-0114-2022"/>
    <s v="N/A"/>
    <s v="Tramos criticos acueducto y alcantarillado sectores varios grupo 2 - barrio Unión de Vivienda Popular"/>
    <n v="679825861"/>
    <s v="28 DE NOVIEMBRE 2022"/>
    <s v="900-IPU-0263-2022"/>
    <m/>
    <n v="202202777"/>
    <n v="680000000"/>
    <s v="N/A"/>
    <s v="N/A"/>
    <s v="Mayor cuantia"/>
    <x v="0"/>
    <s v="HAROLD MONDRAGON"/>
    <d v="2022-04-27T00:00:00"/>
    <e v="#VALUE!"/>
    <e v="#VALUE!"/>
    <s v="SI"/>
    <s v="Entregado al area"/>
    <x v="1"/>
    <s v="17 de mayo en elaboracion de fpa y cc_x000a_24 DEMAYO SE PUBLICA_x000a_9 DE JUNIO EN EVALUACION SOBRE 2_x000a_30 DE JUNIO EN EVALUACION SOBRE 2_x000a_18 DE JULIO EN EVALUACION SOBRE 2_x000a_1 de agosto en adjudicacion. 5 DE AGOSTO EN ACTA DE ADJUDICACION."/>
    <m/>
    <d v="2022-09-01T00:00:00"/>
    <x v="11"/>
    <m/>
    <n v="147"/>
    <n v="127"/>
    <x v="0"/>
    <s v="INVERSION"/>
    <x v="156"/>
    <d v="2022-08-05T00:00:00"/>
    <n v="672598183"/>
    <s v="CONSORCIOS ACUEDUCTOS DEL VALLE"/>
    <n v="202207812"/>
    <n v="7227678"/>
    <m/>
    <m/>
    <m/>
    <m/>
    <m/>
    <s v="CALI"/>
    <s v="LOCAL"/>
    <s v="UNIDAD DE INGENIERIA"/>
    <n v="1.0631660862927954E-2"/>
    <x v="0"/>
    <n v="2"/>
    <n v="147"/>
  </r>
  <r>
    <n v="221"/>
    <s v="0264"/>
    <x v="2"/>
    <d v="2022-04-07T00:00:00"/>
    <x v="4"/>
    <s v="GAA0650"/>
    <s v="FR-300-GAA-0127-2022"/>
    <s v="N/A"/>
    <s v="Renovar los componentes priorizados del sistema de filtración de las PTAPS de la Red Alta (Río Cali y la Reforma)"/>
    <n v="1310994372"/>
    <m/>
    <m/>
    <s v=""/>
    <s v="202202667_x000a_202202668"/>
    <m/>
    <s v="N/A"/>
    <s v="N/A"/>
    <s v="Mayor cuantia"/>
    <x v="3"/>
    <s v="SIN ASIGNAR"/>
    <m/>
    <e v="#VALUE!"/>
    <e v="#VALUE!"/>
    <s v="NO"/>
    <s v="Devuelto"/>
    <x v="2"/>
    <m/>
    <s v="DEVUELTO POR SOLICITUD DEL AREA EL 22 DE ABRIL"/>
    <d v="2022-04-22T00:00:00"/>
    <x v="5"/>
    <s v="abr"/>
    <n v="15"/>
    <n v="44673"/>
    <x v="3"/>
    <s v="INVERSION"/>
    <x v="0"/>
    <m/>
    <m/>
    <m/>
    <m/>
    <m/>
    <m/>
    <m/>
    <m/>
    <m/>
    <m/>
    <m/>
    <m/>
    <m/>
    <m/>
    <x v="0"/>
    <m/>
    <m/>
  </r>
  <r>
    <n v="222"/>
    <s v="0265"/>
    <x v="2"/>
    <d v="2022-04-07T00:00:00"/>
    <x v="4"/>
    <s v="N/A"/>
    <s v="FR-300-GAA-0133-2022"/>
    <s v="N/A"/>
    <s v="Ejecutar las obras para la optimización de las redes de acueducto de los barrios Puerto Mallarino, Simon Bolivar, El lido,Colseguros y Saavedra Galindo"/>
    <n v="9647132101"/>
    <m/>
    <s v="900-IPU-0265-2022"/>
    <s v="IPU"/>
    <s v="N/A"/>
    <m/>
    <s v="N/A"/>
    <s v="N/A"/>
    <s v="Mayor cuantia"/>
    <x v="0"/>
    <s v="HAROLD MONDRAGON"/>
    <d v="2022-04-21T00:00:00"/>
    <e v="#VALUE!"/>
    <e v="#VALUE!"/>
    <m/>
    <s v="Acta de cierre en tramite"/>
    <x v="0"/>
    <d v="2022-11-30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30 DE JUNIO EN EVALUACION SOBRE 2_x000a_18 DE JULIO ES UN PRECALIFICADO Y SE ESTA CONSTRUYENDO_x000a_29 de julio publicado. 5 DE AGOSTO EN REVISION DE ADJUDICACION._x000a_28 DE SEPTIEMBRE EN EVALUAION SOBRE 1_x000a_24-11-2022, REVISION ACTA DE CIERRE ASESOR GAE_x000a_"/>
    <d v="2022-11-24T00:00:00"/>
    <x v="5"/>
    <s v="nov"/>
    <n v="231"/>
    <n v="217"/>
    <x v="3"/>
    <s v="INVERSION"/>
    <x v="0"/>
    <m/>
    <m/>
    <m/>
    <m/>
    <m/>
    <m/>
    <m/>
    <m/>
    <m/>
    <m/>
    <m/>
    <m/>
    <m/>
    <m/>
    <x v="0"/>
    <m/>
    <m/>
  </r>
  <r>
    <n v="223"/>
    <s v="0266"/>
    <x v="2"/>
    <d v="2022-04-08T00:00:00"/>
    <x v="4"/>
    <s v="GAA0675"/>
    <s v="FR-300-GAA-0037-2022"/>
    <s v="N/A"/>
    <s v="Construcción de bases para instalar puente grua de las Unidades de Agua Residual con capacidad de 20 toneladas en la Planta de Puerto Mallarino"/>
    <n v="200500000"/>
    <s v="4 Meses"/>
    <s v="900-IPU-0266-2022"/>
    <m/>
    <n v="202202197"/>
    <n v="200500000"/>
    <s v="N/A"/>
    <s v="N/A"/>
    <s v="Menor cuantia"/>
    <x v="0"/>
    <s v="HAROLD MONDRAGON"/>
    <d v="2022-04-08T00:00:00"/>
    <n v="-44659"/>
    <n v="-44659"/>
    <s v="SI"/>
    <s v="Entregado al area"/>
    <x v="1"/>
    <s v="5 de abril en solicitud de conceptos_x000a_20 DE ABRIL EN ELABORACION DE FPA Y CC_x000a_6 DE MAYO REASIGNADO A HAROLD MONDRAGON_x000a_10 de mayo se reciben ofertas_x000a_17 de mayo en informe de evaluacion_x000a_24 DE MAYO EN EVALUACION SOBRE 2_x000a_9 DE JUNIO ESPERANDO  COMITÉ_x000a_30 DE JUNIO EN SOLICITUD DE POLIZAS_x000a_11 DE JULIO ENTREGADO AL AREA"/>
    <m/>
    <d v="2022-07-11T00:00:00"/>
    <x v="10"/>
    <m/>
    <n v="94"/>
    <n v="94"/>
    <x v="0"/>
    <s v="INVERSION"/>
    <x v="157"/>
    <d v="2022-06-16T00:00:00"/>
    <n v="194435701"/>
    <s v="CMO CONTRATISTAS MANO OBRA SAS"/>
    <n v="202205857"/>
    <n v="6064299"/>
    <m/>
    <m/>
    <m/>
    <m/>
    <m/>
    <s v="CALI"/>
    <s v="LOCAL"/>
    <s v="UNIDAD DE MANTENIMIENTO"/>
    <n v="3.0245880299251869E-2"/>
    <x v="0"/>
    <n v="2"/>
    <n v="94"/>
  </r>
  <r>
    <n v="224"/>
    <s v="0267"/>
    <x v="2"/>
    <d v="2022-04-08T00:00:00"/>
    <x v="4"/>
    <s v="GAA0676"/>
    <s v="FR-300-GAA-0056-2022"/>
    <s v="N/A"/>
    <s v="Mantenimiento de las casetas de protección"/>
    <n v="5580200"/>
    <m/>
    <s v="900-IPU-0267-2022"/>
    <s v="IPU"/>
    <n v="202200777"/>
    <m/>
    <s v="N/A"/>
    <s v="N/A"/>
    <s v="Menor cuantia"/>
    <x v="0"/>
    <s v="JHON LARRY "/>
    <d v="2022-04-08T00:00:00"/>
    <e v="#VALUE!"/>
    <e v="#VALUE!"/>
    <s v="NO"/>
    <s v="Cerrado"/>
    <x v="0"/>
    <m/>
    <s v="20 de abril en elaboracion de la fpa y cc_x000a_28 DE ABRIL PUBLICADO _x000a_5 DE MAYO ESPERANDO LA RECEPCION DE OFERTAS_x000a_17 DE MAYO NO SE PRESENTO NINGUN PROPONENTE ESTA EN ACTA DE CIERRE"/>
    <d v="2022-05-17T00:00:00"/>
    <x v="5"/>
    <s v="may"/>
    <n v="39"/>
    <n v="39"/>
    <x v="3"/>
    <s v="FUNCIONAMIENTO"/>
    <x v="0"/>
    <m/>
    <m/>
    <m/>
    <m/>
    <m/>
    <m/>
    <m/>
    <m/>
    <m/>
    <m/>
    <m/>
    <m/>
    <m/>
    <m/>
    <x v="0"/>
    <m/>
    <m/>
  </r>
  <r>
    <n v="225"/>
    <s v="0268"/>
    <x v="2"/>
    <d v="2022-04-19T00:00:00"/>
    <x v="4"/>
    <s v="GAA0669"/>
    <s v="FR-300-GAA-0136-2022"/>
    <s v="N/A"/>
    <s v="Suministro e Instalación equipos de Instrumentación y Automatización"/>
    <n v="97403342"/>
    <m/>
    <s v="900-IPU-0268-2022"/>
    <s v="IPU"/>
    <n v="202203123"/>
    <m/>
    <s v="N/A"/>
    <s v="N/A"/>
    <s v="Menor cuantia"/>
    <x v="0"/>
    <s v="ANA MARIA GIL"/>
    <d v="2022-04-21T00:00:00"/>
    <e v="#VALUE!"/>
    <e v="#VALUE!"/>
    <s v="NO"/>
    <s v="CERRADO PARA TRAMITAR COMO IP "/>
    <x v="0"/>
    <m/>
    <s v="5 DE MAYO EN INTELIGENCIA DE MERCADO POR JULIO ERAZO_x000a_17 de mayo en inteligencia de mercado_x000a_23 DE MAYO EN INTELEIGENCIA DE MERCADO_x000a_3 DE JUNIO ESPERANDO INTELIGENCIA"/>
    <d v="2022-06-03T00:00:00"/>
    <x v="5"/>
    <s v="jun"/>
    <n v="45"/>
    <n v="43"/>
    <x v="3"/>
    <s v="INVERSION"/>
    <x v="0"/>
    <m/>
    <m/>
    <m/>
    <m/>
    <m/>
    <m/>
    <m/>
    <m/>
    <m/>
    <m/>
    <m/>
    <m/>
    <m/>
    <m/>
    <x v="0"/>
    <m/>
    <m/>
  </r>
  <r>
    <n v="226"/>
    <s v="0269"/>
    <x v="2"/>
    <d v="2022-04-19T00:00:00"/>
    <x v="4"/>
    <s v="GAA0264"/>
    <s v="FR-300-GAA-0137-2022"/>
    <s v="N/A"/>
    <s v="Mantenimiento y Calibración sistemas de Pesaje Plantas de Tratamiento de Agua Potable"/>
    <n v="29720250"/>
    <m/>
    <s v="900-IPU-0269-2022"/>
    <s v="IPU"/>
    <n v="202200893"/>
    <m/>
    <s v="N/A"/>
    <s v="N/A"/>
    <s v="Menor cuantia"/>
    <x v="0"/>
    <s v="JHON LARRY "/>
    <d v="2022-04-21T00:00:00"/>
    <e v="#VALUE!"/>
    <e v="#VALUE!"/>
    <s v="NO"/>
    <s v="Cerrado"/>
    <x v="0"/>
    <m/>
    <s v="5 DE MAYO DE ELABORACION DE LA FPA_x000a_17 DE MAYO EN REVISION DE LA FPA Y CC_x000a_23 DE MAO SE PUBLICO_x000a_9 de junio en recepcion de subsanables_x000a_17 de junio en evaluacion sobre 2_x000a_30 de junio en evaluacion sobre 2"/>
    <d v="2022-06-30T00:00:00"/>
    <x v="5"/>
    <s v="jun"/>
    <n v="72"/>
    <n v="70"/>
    <x v="3"/>
    <s v="FUNCIONAMIENTO"/>
    <x v="0"/>
    <m/>
    <m/>
    <m/>
    <m/>
    <m/>
    <m/>
    <m/>
    <m/>
    <m/>
    <m/>
    <m/>
    <m/>
    <m/>
    <m/>
    <x v="0"/>
    <m/>
    <m/>
  </r>
  <r>
    <n v="227"/>
    <s v="0270"/>
    <x v="2"/>
    <d v="2022-04-19T00:00:00"/>
    <x v="4"/>
    <s v="GAA0668_x000a_GAA0244"/>
    <s v="FR-300-GAA-0138-2022"/>
    <s v="N/A"/>
    <s v="Suministro de Turbidímetro para la Planta de Tratamiento de Agua Potable Puerto Puerto Mallarino"/>
    <n v="46594222"/>
    <m/>
    <s v="900-IPU-0270-2022"/>
    <s v="IPU"/>
    <s v="202203122_x000a_202202970"/>
    <m/>
    <s v="N/A"/>
    <s v="N/A"/>
    <s v="Menor cuantia"/>
    <x v="0"/>
    <s v="JHON LARRY "/>
    <d v="2022-04-21T00:00:00"/>
    <e v="#VALUE!"/>
    <e v="#VALUE!"/>
    <s v="NO"/>
    <s v="CERRADO PARA TRAMITAR COMO IP "/>
    <x v="0"/>
    <m/>
    <s v="5 DE MAYO EN INTELIGENCIA DE MERCADO_x000a_17 de mayo en inteligencia de mercado_x000a_24 DE MAYO EN INTELIGENCIA DE MERCADO"/>
    <d v="2022-06-02T00:00:00"/>
    <x v="5"/>
    <s v="jun"/>
    <n v="44"/>
    <n v="42"/>
    <x v="3"/>
    <s v="INVERSION"/>
    <x v="0"/>
    <m/>
    <m/>
    <m/>
    <m/>
    <m/>
    <m/>
    <m/>
    <m/>
    <m/>
    <m/>
    <m/>
    <m/>
    <m/>
    <m/>
    <x v="0"/>
    <m/>
    <m/>
  </r>
  <r>
    <n v="228"/>
    <s v="0271"/>
    <x v="2"/>
    <d v="2022-04-19T00:00:00"/>
    <x v="4"/>
    <s v="N/A"/>
    <s v="FR-300-GAA-0134-2022"/>
    <s v="N/A"/>
    <s v="Realizar la Interventoría tecnica, administrativa, financiera y legal del contrato que surja del proceso cuyo objeto es realizar la construcción para la optimización de las redes de acueducto en los barrios Puerto Mallarino, Simón Bolivar, El Lido, Colseguros, Saavedra Galindo."/>
    <s v="N/A"/>
    <m/>
    <s v="900-IPU-0271-2022"/>
    <s v="IPU"/>
    <s v="N/A"/>
    <m/>
    <s v="N/A"/>
    <s v="N/A"/>
    <s v="Mayor cuantia"/>
    <x v="0"/>
    <s v="HAROLD MONDRAGON"/>
    <d v="2022-04-21T00:00:00"/>
    <e v="#VALUE!"/>
    <e v="#VALUE!"/>
    <m/>
    <s v="Devuelto"/>
    <x v="2"/>
    <d v="2022-12-02T00:00:00"/>
    <s v="5 DE MAYO A LA ESPERA DE LA REUNION DEL GERENTE DE ACUEDUCTO CON HACIENDA PARA DAR CONTINUIDAD. ESTE PROCESO LO TENIA VIAGNERY 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02-12-2022, se devuelve al area con memorando 900-0529-2022 del 1 de diciembre."/>
    <d v="2022-12-02T00:00:00"/>
    <x v="5"/>
    <s v="dic"/>
    <n v="227"/>
    <n v="225"/>
    <x v="3"/>
    <s v="INVERSION"/>
    <x v="0"/>
    <m/>
    <m/>
    <m/>
    <m/>
    <m/>
    <m/>
    <m/>
    <m/>
    <m/>
    <m/>
    <m/>
    <m/>
    <m/>
    <m/>
    <x v="0"/>
    <m/>
    <m/>
  </r>
  <r>
    <n v="229"/>
    <s v="0272"/>
    <x v="1"/>
    <d v="2022-04-19T00:00:00"/>
    <x v="4"/>
    <s v="GE0207_x000a_GE0249"/>
    <s v="FR-500-GE-0195-2022"/>
    <s v="300-CMA-1974-2020"/>
    <s v="Suministro de materiales, elementos de ferretería, herramientas y elementos afines para EMCALI EICE ESP"/>
    <n v="150974278"/>
    <s v="60 dias"/>
    <s v="N/A"/>
    <m/>
    <n v="202203560"/>
    <m/>
    <s v="N/A"/>
    <s v="N/A"/>
    <s v="N/A"/>
    <x v="1"/>
    <s v="LUCY ARBELAEZ"/>
    <d v="2022-04-20T00:00:00"/>
    <e v="#REF!"/>
    <e v="#REF!"/>
    <s v="SI"/>
    <s v="Entregado al area"/>
    <x v="1"/>
    <s v="17 de mayo en invitacion de ofertas_x000a_23 DE MAYO EN ACEPTACION DE OFERTA_x000a_9 de junio entregado al area"/>
    <m/>
    <d v="2022-06-09T00:00:00"/>
    <x v="9"/>
    <m/>
    <n v="51"/>
    <n v="50"/>
    <x v="0"/>
    <s v="INVERSION"/>
    <x v="158"/>
    <d v="2022-05-25T00:00:00"/>
    <n v="150974278"/>
    <s v="EQUIPOS Y HERRAMIENTAS INDUSTRIALES SAS"/>
    <s v="202205614_x000a_20225615"/>
    <n v="0"/>
    <m/>
    <m/>
    <m/>
    <m/>
    <m/>
    <s v="YUMBO"/>
    <s v="MUNICIPAL"/>
    <m/>
    <n v="0"/>
    <x v="0"/>
    <n v="0"/>
    <n v="51"/>
  </r>
  <r>
    <n v="230"/>
    <s v="0273"/>
    <x v="1"/>
    <d v="2022-04-20T00:00:00"/>
    <x v="4"/>
    <s v="GE0218_x000a_GE0318"/>
    <s v="FR-500-GE-0194-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PO 1: Suministro de cables y alambres para la conducción de energía. GRUPO 2: Suministro de Cables BCH y alambres para el mantenimiento e isntalación de las redes de acceso de los servicios de telecomunicaciones"/>
    <n v="606231596"/>
    <m/>
    <s v="N/A"/>
    <m/>
    <n v="202203552"/>
    <m/>
    <s v="N/A"/>
    <s v="N/A"/>
    <s v="N/A"/>
    <x v="1"/>
    <s v="ESTEFANIA SANCHEZ"/>
    <d v="2022-04-20T00:00:00"/>
    <n v="43"/>
    <n v="43"/>
    <s v="SI"/>
    <s v="Entregado al area"/>
    <x v="1"/>
    <s v="5 DE MAYO EN REVISION POR PARTE DE LA COORDINADORA_x000a_23 DE MAYO ENTREGADO AL AREA"/>
    <m/>
    <d v="2022-05-23T00:00:00"/>
    <x v="8"/>
    <m/>
    <n v="33"/>
    <n v="33"/>
    <x v="0"/>
    <s v="FUNCIONAMIENTO"/>
    <x v="159"/>
    <d v="2022-05-13T00:00:00"/>
    <n v="575920016"/>
    <s v="CENTELSA SA"/>
    <m/>
    <n v="30311580"/>
    <m/>
    <m/>
    <m/>
    <m/>
    <m/>
    <m/>
    <m/>
    <m/>
    <n v="5.0000000329906924E-2"/>
    <x v="0"/>
    <n v="0"/>
    <n v="33"/>
  </r>
  <r>
    <n v="231"/>
    <s v="0274"/>
    <x v="2"/>
    <d v="2022-04-21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m/>
    <s v=""/>
    <n v="202200782"/>
    <m/>
    <s v="N/A"/>
    <s v="N/A"/>
    <s v="Mayor cuantia"/>
    <x v="3"/>
    <s v="SIN ASIGNAR"/>
    <m/>
    <e v="#VALUE!"/>
    <e v="#VALUE!"/>
    <s v="NO"/>
    <s v="Devuelto"/>
    <x v="2"/>
    <m/>
    <s v="DEVUELTO POR SOLICITUD DEL AREA EL 25DE ABRIL"/>
    <d v="2022-04-25T00:00:00"/>
    <x v="5"/>
    <s v="abr"/>
    <n v="4"/>
    <n v="44676"/>
    <x v="3"/>
    <s v="FUNCIONAMIENTO"/>
    <x v="0"/>
    <m/>
    <m/>
    <m/>
    <m/>
    <m/>
    <m/>
    <m/>
    <m/>
    <m/>
    <m/>
    <m/>
    <m/>
    <m/>
    <m/>
    <x v="0"/>
    <m/>
    <m/>
  </r>
  <r>
    <n v="232"/>
    <s v="0275"/>
    <x v="1"/>
    <d v="2022-04-21T00:00:00"/>
    <x v="4"/>
    <s v="GE0284"/>
    <s v="FR-500-GE-0127-2022"/>
    <s v="N/A"/>
    <s v="Suministro e instalación de una red FAN WiSUN de estándares abiertos, que integre proveedores de medición inteligente de energía, sensorización de medio ambiente, alumbrado público inteligente y a la cual se pueda agregar una red WIFI público de alto desempeño."/>
    <n v="1177021406"/>
    <m/>
    <s v="900-IPU-0275-2022"/>
    <s v="IPU"/>
    <n v="202202181"/>
    <m/>
    <s v="N/A"/>
    <s v="N/A"/>
    <s v="Mayor cuantia"/>
    <x v="0"/>
    <s v="HAROLD MONDRAGON"/>
    <d v="2022-04-22T00:00:00"/>
    <e v="#VALUE!"/>
    <e v="#VALUE!"/>
    <s v="NO"/>
    <s v="Cerrado"/>
    <x v="0"/>
    <m/>
    <s v="9 de mayo en elaboracion de la fpa y cc_x000a_24 DE MAYO SE PUBLICARA_x000a_9 DE JUNIO CERRADO POR FALTA DE PRESUPUESTO"/>
    <d v="2022-06-09T00:00:00"/>
    <x v="5"/>
    <s v="jun"/>
    <n v="49"/>
    <n v="48"/>
    <x v="3"/>
    <s v="INVERSION"/>
    <x v="0"/>
    <m/>
    <m/>
    <m/>
    <m/>
    <m/>
    <m/>
    <m/>
    <m/>
    <m/>
    <m/>
    <m/>
    <m/>
    <m/>
    <m/>
    <x v="0"/>
    <m/>
    <m/>
  </r>
  <r>
    <n v="233"/>
    <s v="0276"/>
    <x v="1"/>
    <d v="2022-04-21T00:00:00"/>
    <x v="4"/>
    <s v="GE0291"/>
    <s v="FR-500-GE-0196-2022"/>
    <s v="N/A"/>
    <s v="Suministro DDP y configuaración de medidores ION SCHNEIDER 92040 para la calidad de la energía en subestaciones, , clase A."/>
    <n v="886776000"/>
    <m/>
    <s v="900-IPU-0276-2022"/>
    <s v="IPU"/>
    <n v="202202877"/>
    <m/>
    <s v="N/A"/>
    <s v="N/A"/>
    <s v="Mayor cuantia"/>
    <x v="0"/>
    <s v="JULIETA ORTIZ"/>
    <d v="2022-05-13T00:00:00"/>
    <e v="#VALUE!"/>
    <e v="#VALUE!"/>
    <s v="NO"/>
    <s v="Cerrado"/>
    <x v="0"/>
    <m/>
    <s v="5 DE MAYO EN ELABORACION DE LA FPA Y CC_x000a_10 DE MAYO REASIGNADO A JULIETA ORTIZ_x000a_17 de mayo en elaboracion de fpa y cc_x000a_13 de mayo Julieta recibio la informacion_x000a_24 DE MAYO ESPRANDO INTELIGENCIA DE MERCADO_x000a_25 de mayo se recibio inteligencia de mercado_x000a_27 de mayo se entrego para revision de la cc por silvia_x000a_2 de Junio en espera de Publicacion_x000a_8 de junio en recepcion de obervaciones_x000a_15 de junio se adenda para modificacion de cronograma_x000a_30 de junio acta de saneamiento, adenda 2 . Se retrotrajo porq no alcanzaron a hacer la evaluación de idoneidad por parte de energía. Se reciben de nuevo ofertas el martes 5 julio_x000a__x000a_2 DE AGOSTO ESPRANDO ACTA DE CIERRE PARA SACARLA POR LITERAL B"/>
    <d v="2022-08-02T00:00:00"/>
    <x v="5"/>
    <s v="ago"/>
    <n v="103"/>
    <n v="81"/>
    <x v="2"/>
    <s v="INVERSION"/>
    <x v="0"/>
    <m/>
    <m/>
    <m/>
    <m/>
    <m/>
    <m/>
    <m/>
    <m/>
    <m/>
    <m/>
    <m/>
    <m/>
    <m/>
    <m/>
    <x v="0"/>
    <m/>
    <m/>
  </r>
  <r>
    <n v="234"/>
    <s v="0277"/>
    <x v="6"/>
    <d v="2022-04-21T00:00:00"/>
    <x v="4"/>
    <s v="GTI0004"/>
    <s v="FR-200-GTI-0097-2022"/>
    <s v="N/A"/>
    <s v="Suministro e instalación cableado estructurado categoría 6 A systimax y panduit para 90 sedes de EMCALI, para la conexión de dispositivos de NETWORKING, dispositivos de seguridad de la red, puntos de red UTP y de fibra óptica, de la red corporativa. Los servicios serán prestados en los sitios de operación de la empresa, ubicadas en las ciudades de Cali, Jamundí, Yumbo y Puerto Tejada_x000a_Suministro e instalación de tomas de energía eléctrica regulada y No regulada."/>
    <n v="1484851440"/>
    <d v="2022-11-28T00:00:00"/>
    <s v="900-IPU-0277-2022"/>
    <m/>
    <n v="202202914"/>
    <n v="1484851440"/>
    <s v="N/A"/>
    <s v="N/A"/>
    <s v="Mayor cuantia"/>
    <x v="0"/>
    <s v="PAOLA BELTRAN"/>
    <d v="2022-04-22T00:00:00"/>
    <n v="146"/>
    <n v="145"/>
    <s v="SI"/>
    <s v="Entregado al area"/>
    <x v="1"/>
    <s v="5 DE MAYO EN ELABORACION DE LA FPA Y CC_x000a_17 de mayo en respuesta a observaciones_x000a_25 de mayo se reciben ofertas_x000a_9 de junio en evaluacion sobre1_x000a_18 de julio en elabroacion de la minuta_x000a_1 DE AGOSTO PENDIENTE DE APROBACION DE POLIZAS"/>
    <m/>
    <d v="2022-08-02T00:00:00"/>
    <x v="1"/>
    <m/>
    <n v="103"/>
    <n v="102"/>
    <x v="0"/>
    <s v="FUNCIONAMIENTO"/>
    <x v="160"/>
    <d v="2022-07-19T00:00:00"/>
    <n v="1477993090"/>
    <s v="GRUPOSIT SAS"/>
    <n v="202207181"/>
    <n v="6858350"/>
    <m/>
    <m/>
    <m/>
    <m/>
    <m/>
    <s v="CALI"/>
    <s v="LOCAL"/>
    <s v="GTI"/>
    <n v="4.6188795829972054E-3"/>
    <x v="1"/>
    <n v="2"/>
    <n v="103"/>
  </r>
  <r>
    <n v="235"/>
    <s v="0278"/>
    <x v="5"/>
    <d v="2022-04-21T00:00:00"/>
    <x v="4"/>
    <s v="GHA0223_x000a_GHA0222"/>
    <s v="FR-800-GHA-0139-2022"/>
    <s v="N/A"/>
    <s v="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1053153998"/>
    <s v="28 DE NOVIEMBRE 2022"/>
    <s v="900-IPU-0278-2022"/>
    <m/>
    <s v="202202571_x000a_202202573_x000a_202202574_x000a_202202575"/>
    <m/>
    <s v="N/A"/>
    <s v="N/A"/>
    <s v="Mayor cuantia"/>
    <x v="0"/>
    <s v="LEIDY FRANCO"/>
    <d v="2022-04-22T00:00:00"/>
    <n v="146"/>
    <n v="145"/>
    <s v="SI"/>
    <s v="Entregado al area"/>
    <x v="1"/>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ESPERANDO QUE DOS GRUPOS DETERMINE EL INFORME EVALUACION_x000a_10 de agosto en adjudicacion  del grupo 1 en kpmatsu."/>
    <m/>
    <d v="2022-08-30T00:00:00"/>
    <x v="1"/>
    <m/>
    <n v="131"/>
    <n v="130"/>
    <x v="0"/>
    <s v="FUNCIONAMIENTO"/>
    <x v="161"/>
    <d v="2022-08-11T00:00:00"/>
    <n v="999600000"/>
    <s v="KOMATSU COLOMBIA SAS"/>
    <n v="202207814"/>
    <n v="53553998"/>
    <m/>
    <m/>
    <m/>
    <m/>
    <m/>
    <s v="CHIA CUNDINAMARCA"/>
    <s v="NACIONAL"/>
    <s v="UNIDAD GESTION ADMINISTRATIVA"/>
    <n v="5.0851060815134463E-2"/>
    <x v="1"/>
    <n v="2"/>
    <n v="105"/>
  </r>
  <r>
    <n v="236"/>
    <s v="0279"/>
    <x v="5"/>
    <d v="2022-04-21T00:00:00"/>
    <x v="4"/>
    <s v="GHA0080"/>
    <s v="FR-800-GHA-0145-2022"/>
    <s v="900-CMA-1925-2022"/>
    <s v="Realizar las adecuaciones locativas en el Centro de Atención Yumbo y obras complementarias"/>
    <n v="1728625910"/>
    <m/>
    <s v="N/A"/>
    <s v=""/>
    <s v="202203022_x000a_202203124"/>
    <n v="112460756"/>
    <s v="N/A"/>
    <s v="N/A"/>
    <s v="N/A"/>
    <x v="3"/>
    <s v="FRANCIA RAMÍREZ"/>
    <d v="2022-04-26T00:00:00"/>
    <e v="#VALUE!"/>
    <e v="#VALUE!"/>
    <s v="NO"/>
    <s v="Devuelto"/>
    <x v="2"/>
    <m/>
    <s v="5 de mayo se devolvio al area para que se incluya en el contrato marco de locativos"/>
    <d v="2022-05-05T00:00:00"/>
    <x v="5"/>
    <s v="may"/>
    <n v="14"/>
    <n v="9"/>
    <x v="0"/>
    <s v="INVERSION"/>
    <x v="0"/>
    <m/>
    <m/>
    <m/>
    <m/>
    <m/>
    <m/>
    <m/>
    <m/>
    <m/>
    <m/>
    <m/>
    <m/>
    <m/>
    <m/>
    <x v="1"/>
    <m/>
    <m/>
  </r>
  <r>
    <n v="237"/>
    <s v="0280"/>
    <x v="5"/>
    <d v="2022-04-21T00:00:00"/>
    <x v="4"/>
    <s v="GHA0200"/>
    <s v="FR-800-GHA-0151-2022"/>
    <s v="800-CMA-1913-2021"/>
    <s v="Contrato Marco para realizar la Impermeabilización de la cubierta y adecuaciones locativas central telefonica Limonar en la Unidad de Gestión de Plataformas."/>
    <n v="112460756"/>
    <s v="31 DE DICIEMBRE 2022"/>
    <s v="N/A"/>
    <m/>
    <s v="202203022_x000a_202203124"/>
    <n v="112460756"/>
    <s v="N/A"/>
    <s v="N/A"/>
    <s v="N/A"/>
    <x v="1"/>
    <s v="FRANCIA RAMÍREZ"/>
    <d v="2022-04-22T00:00:00"/>
    <n v="42"/>
    <n v="41"/>
    <s v="SI"/>
    <s v="Entregado al area"/>
    <x v="1"/>
    <s v="9 de mayo para solicitud de polizas_x000a_13 DE MAYO ENTREGADO AL AREA"/>
    <m/>
    <d v="2022-05-13T00:00:00"/>
    <x v="8"/>
    <m/>
    <n v="22"/>
    <n v="21"/>
    <x v="0"/>
    <s v="FUNCIONAMIENTO"/>
    <x v="162"/>
    <d v="2022-05-02T00:00:00"/>
    <n v="106837718"/>
    <s v="GUSTAVO ADOLFO  TORRES DUARTE"/>
    <m/>
    <n v="5623038"/>
    <m/>
    <m/>
    <s v="N/A"/>
    <s v="N/A"/>
    <m/>
    <s v="CALI"/>
    <s v="LOCAL"/>
    <m/>
    <n v="5.0000001778398147E-2"/>
    <x v="1"/>
    <n v="0"/>
    <n v="22"/>
  </r>
  <r>
    <n v="238"/>
    <s v="0281"/>
    <x v="5"/>
    <d v="2022-04-22T00:00:00"/>
    <x v="4"/>
    <s v="GHA0220_x000a_GHA0221"/>
    <s v="FR-800-GAGHA-0138-2022"/>
    <s v="N/A"/>
    <s v="Realizar la compra de un (1) camión de dos toneladas tipo furgón 4x2, con las adecuaciones requeridas por EMCALI EICE ESP, incluyendo el servicio de diez (10) mantenimientos preventivos"/>
    <n v="197470000"/>
    <m/>
    <s v="900-IPU-0281-2022"/>
    <s v="IPU"/>
    <n v="202202364"/>
    <m/>
    <s v="N/A"/>
    <s v="N/A"/>
    <s v="Menor cuantia"/>
    <x v="0"/>
    <s v="LEIDY DIANA FRANCO"/>
    <d v="2022-04-22T00:00:00"/>
    <e v="#VALUE!"/>
    <e v="#VALUE!"/>
    <s v="NO"/>
    <s v="Cerrado"/>
    <x v="0"/>
    <m/>
    <s v="5 de mayo en inteligencia de mercado_x000a_23 DE MAYO PUBLICADO_x000a_8 DE JUNIO EN RESPUESTA A OBSERVACIONES YA QUE SE ADENDO AMPLIANDO CRONOGRAMA PARA INCLUIR AUDIENCIA DE PRESICION DE CONDICIONES DE CONTRATACION_x000a_23 DE JUNIO SE RECIBEN OFERTAS_x000a_30 de junio en recepcion de ofertas_x000a_18 DE JULIO SE CIERRA EL GRUPO 1 3 Y 5"/>
    <d v="2022-07-18T00:00:00"/>
    <x v="5"/>
    <s v="jul"/>
    <n v="87"/>
    <n v="87"/>
    <x v="3"/>
    <s v="FUNCIONAMIENTO"/>
    <x v="0"/>
    <m/>
    <m/>
    <m/>
    <m/>
    <m/>
    <m/>
    <m/>
    <m/>
    <m/>
    <m/>
    <m/>
    <m/>
    <m/>
    <m/>
    <x v="1"/>
    <m/>
    <m/>
  </r>
  <r>
    <n v="239"/>
    <s v="0282"/>
    <x v="6"/>
    <d v="2022-04-22T00:00:00"/>
    <x v="4"/>
    <s v="GTI0021"/>
    <s v="FR-200-GTI-0096-2022"/>
    <s v="N/A"/>
    <s v="Contratar el servicio de soporte actualización y mantenimiento del software SAP"/>
    <n v="1240383280"/>
    <m/>
    <m/>
    <s v=""/>
    <s v="202203525_x000a_202202915"/>
    <m/>
    <s v="N/A"/>
    <s v="N/A"/>
    <s v="Mayor cuantia"/>
    <x v="3"/>
    <s v="PABLO CAICEDO"/>
    <d v="2022-04-25T00:00:00"/>
    <e v="#VALUE!"/>
    <e v="#VALUE!"/>
    <s v="NO"/>
    <s v="Cerrado"/>
    <x v="0"/>
    <m/>
    <s v="5 DE MAYO EN ELABORACION DE LA FPA Y CC_x000a_17 de mayo en respuesta a observaciones_x000a_9 de junio cerrado porque se declaro desierto"/>
    <d v="2022-06-09T00:00:00"/>
    <x v="5"/>
    <s v="jun"/>
    <n v="48"/>
    <n v="45"/>
    <x v="3"/>
    <s v="FUNCIONAMIENTO"/>
    <x v="0"/>
    <m/>
    <m/>
    <m/>
    <m/>
    <m/>
    <m/>
    <m/>
    <m/>
    <m/>
    <m/>
    <m/>
    <m/>
    <m/>
    <m/>
    <x v="1"/>
    <m/>
    <m/>
  </r>
  <r>
    <n v="240"/>
    <s v="0283"/>
    <x v="6"/>
    <d v="2022-04-22T00:00:00"/>
    <x v="4"/>
    <s v="GTI0179"/>
    <s v="FR-200-GTI-0099-2022"/>
    <s v="N/A"/>
    <s v="Servicio de Soporte y Mantenimiento aplicativo JURISOFT"/>
    <n v="36930000"/>
    <m/>
    <s v="900-IPU-0283-2022"/>
    <s v="IPU"/>
    <n v="202202335"/>
    <m/>
    <s v="N/A"/>
    <s v="N/A"/>
    <s v="Menor cuantia"/>
    <x v="0"/>
    <s v="PAOLA BELTRAN"/>
    <d v="2022-04-25T00:00:00"/>
    <e v="#VALUE!"/>
    <e v="#VALUE!"/>
    <s v="NO"/>
    <s v="Cerrado"/>
    <x v="0"/>
    <m/>
    <s v="17 de mayo respuesta a observaciones_x000a_24 DE MAYO EN EVALUACION SOBRE 1_x000a_8 junio en evaluacion sobre 1 se va a cerrar, SE REALIZARA POR SECRETARIA GENERAL PORQUE ES UN SAM"/>
    <d v="2022-06-08T00:00:00"/>
    <x v="5"/>
    <s v="jun"/>
    <n v="47"/>
    <n v="44"/>
    <x v="3"/>
    <s v="FUNCIONAMIENTO"/>
    <x v="0"/>
    <m/>
    <m/>
    <m/>
    <m/>
    <m/>
    <m/>
    <m/>
    <m/>
    <m/>
    <m/>
    <m/>
    <m/>
    <m/>
    <m/>
    <x v="1"/>
    <m/>
    <m/>
  </r>
  <r>
    <n v="241"/>
    <s v="0284"/>
    <x v="6"/>
    <d v="2022-04-22T00:00:00"/>
    <x v="4"/>
    <s v="GTI0106"/>
    <s v="FR-200-GTI-0100-2022"/>
    <s v="N/A"/>
    <s v="Servicio de Soporte y Mantenimiento aplicativo_x000a_DARUMA"/>
    <n v="41142193"/>
    <m/>
    <s v="900-IPU-0284-2022"/>
    <s v="IPU"/>
    <s v="202201949_x000a_202203487"/>
    <m/>
    <s v="N/A"/>
    <s v="N/A"/>
    <s v="Menor cuantia"/>
    <x v="0"/>
    <s v="PAOLA BELTRAN"/>
    <d v="2022-04-25T00:00:00"/>
    <e v="#VALUE!"/>
    <e v="#VALUE!"/>
    <s v="NO"/>
    <s v="Cerrado"/>
    <x v="0"/>
    <m/>
    <s v="17 DE MAYO EN REVISION DE LA CC _x000a_26 DE MAYO SE RECIBEN OFERTAS_x000a_2 de junio cerrado  SE DEVOLVIO PORQUE SE SACARA POR SECREATRIA GENERAL"/>
    <d v="2022-06-02T00:00:00"/>
    <x v="5"/>
    <s v="jun"/>
    <n v="41"/>
    <n v="38"/>
    <x v="3"/>
    <s v="FUNCIONAMIENTO"/>
    <x v="0"/>
    <m/>
    <m/>
    <m/>
    <m/>
    <m/>
    <m/>
    <m/>
    <m/>
    <m/>
    <m/>
    <m/>
    <m/>
    <m/>
    <m/>
    <x v="1"/>
    <m/>
    <m/>
  </r>
  <r>
    <n v="242"/>
    <s v="0285"/>
    <x v="1"/>
    <d v="2022-04-08T00:00:00"/>
    <x v="4"/>
    <s v="GE0313"/>
    <s v="FR-500-GE-0115-2022"/>
    <s v="N/A"/>
    <s v="Calibración de Instrumentos y Equipos de Laboratorio"/>
    <n v="40712800"/>
    <m/>
    <s v="900-IPU-0285-2022"/>
    <s v="IPU"/>
    <n v="202201683"/>
    <m/>
    <s v="N/A"/>
    <s v="N/A"/>
    <s v="Menor cuantia"/>
    <x v="0"/>
    <s v="JUAN DAVID GOMEZ"/>
    <d v="2022-04-08T00:00:00"/>
    <e v="#VALUE!"/>
    <e v="#VALUE!"/>
    <s v="NO"/>
    <s v="Cerrado"/>
    <x v="0"/>
    <m/>
    <s v="28 de abril publicado _x000a_11 de mayo se reciben ofertas_x000a_17 DE MAYO SE CERRO PORQUE NINGUN OFERENTE SE PRESENTO"/>
    <d v="2022-05-17T00:00:00"/>
    <x v="5"/>
    <s v="may"/>
    <n v="39"/>
    <n v="39"/>
    <x v="2"/>
    <s v="FUNCIONAMIENTO"/>
    <x v="0"/>
    <m/>
    <m/>
    <m/>
    <m/>
    <m/>
    <n v="40712800"/>
    <m/>
    <m/>
    <m/>
    <m/>
    <m/>
    <m/>
    <m/>
    <m/>
    <x v="0"/>
    <m/>
    <m/>
  </r>
  <r>
    <n v="243"/>
    <s v="0286"/>
    <x v="2"/>
    <d v="2022-04-25T00:00:00"/>
    <x v="4"/>
    <s v="N/A"/>
    <s v="FR-300-GAA-0140-2022"/>
    <s v="N/A"/>
    <s v="Realizar la interventoría té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s v="N/A"/>
    <m/>
    <s v="900-IPU-0286-2022"/>
    <s v="IPU"/>
    <s v="N/A"/>
    <m/>
    <s v="N/A"/>
    <s v="N/A"/>
    <s v="Menor cuantia"/>
    <x v="0"/>
    <s v="HAROLD MONDRAGON"/>
    <d v="2022-04-26T00:00:00"/>
    <e v="#VALUE!"/>
    <e v="#VALUE!"/>
    <m/>
    <s v="Devuelto"/>
    <x v="2"/>
    <d v="2022-12-02T00:00:00"/>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1 de agosto en inteligencia de mercado_x000a_28 DE SEPTIEMBRE EN ELABORACION DE FPA Y CC_x000a_24-11-2022, POR INSTRUCCIÓN ASESORES GERENCIA GENERAL PROCESOS QUE NO SE VAN A TRAMITAR HASTA QUE AREA ENTREGUE VF, PROCESOS PARA DEVOLUCION AL AEREA _x000a_02-12-2022, se devuelve al area mediante oficion 900-0529-2022 del 1 de diciembre _x000a__x000a__x000a_"/>
    <d v="2022-12-02T00:00:00"/>
    <x v="5"/>
    <s v="dic"/>
    <n v="221"/>
    <n v="220"/>
    <x v="3"/>
    <s v="INVERSION"/>
    <x v="0"/>
    <m/>
    <m/>
    <m/>
    <m/>
    <m/>
    <m/>
    <m/>
    <m/>
    <m/>
    <m/>
    <m/>
    <m/>
    <m/>
    <m/>
    <x v="0"/>
    <m/>
    <m/>
  </r>
  <r>
    <n v="244"/>
    <s v="0287"/>
    <x v="2"/>
    <d v="2022-04-25T00:00:00"/>
    <x v="4"/>
    <s v="N/A"/>
    <s v="FR-300-GAA-0141-2022"/>
    <s v="N/A"/>
    <s v="Optimización del funcionamiento hidraulico y estructural de la red secundaria de alcantarillado y la optimización de la red de acueducto en el barrio San Luis de Santiago de Cali."/>
    <s v="N/A"/>
    <m/>
    <s v="900-IPU-0287-2022"/>
    <s v="IPU"/>
    <s v="N/A"/>
    <m/>
    <s v="N/A"/>
    <s v="N/A"/>
    <s v="Menor cuantia"/>
    <x v="0"/>
    <s v="JUAN PABLO QUIMBAYO"/>
    <d v="2022-04-29T00:00:00"/>
    <e v="#VALUE!"/>
    <e v="#VALUE!"/>
    <s v="NO"/>
    <s v="Cerrado"/>
    <x v="0"/>
    <m/>
    <s v="5 DE MAYO A LA ESPERA DE LA REUNION DEL GERENTE DE ACUEDUCTO CON HACIENDA PARA DAR CONTINUIDAD. ESTE PROCESO LO TENIA VIAGNERY LOPEZ_x000a_17 de mayo esperando info del area_x000a_9 de junio en elaboracion de fpa y cc_x000a_17 DE JUNIO ESPERANDO INFORMACION DEL AREA_x000a_18 DE JULIO ES UN PRECALIFICADO Y SE ESTA CONSTRUYENDO_x000a_29 de julio publicado_x000a_28 DE SEPTIEMBRE EN EVALUACION SIBRE 1"/>
    <d v="2022-10-19T00:00:00"/>
    <x v="5"/>
    <s v="oct"/>
    <n v="177"/>
    <n v="173"/>
    <x v="3"/>
    <s v="INVERSION"/>
    <x v="0"/>
    <m/>
    <m/>
    <m/>
    <m/>
    <m/>
    <m/>
    <m/>
    <m/>
    <m/>
    <m/>
    <m/>
    <m/>
    <m/>
    <m/>
    <x v="0"/>
    <m/>
    <m/>
  </r>
  <r>
    <n v="245"/>
    <s v="0288"/>
    <x v="2"/>
    <d v="2022-04-25T00:00:00"/>
    <x v="4"/>
    <s v="GAA0266_x000a_GAA0268"/>
    <s v="FR-300-GAA-0139-2022"/>
    <s v="N/A"/>
    <s v="Suministro e instalación de unidades de bombeo centrifugas PTAP y Bocatoma &quot;La Reforma&quot;"/>
    <n v="62299950"/>
    <m/>
    <s v="900-IPU-0288-2022"/>
    <s v="IPU"/>
    <s v="202202917_x000a_202202918"/>
    <m/>
    <s v="N/A"/>
    <s v="N/A"/>
    <s v="Menor cuantia"/>
    <x v="0"/>
    <s v="ANA MARIA GIL"/>
    <d v="2022-04-26T00:00:00"/>
    <e v="#VALUE!"/>
    <e v="#VALUE!"/>
    <s v="NO"/>
    <s v="Cerrado"/>
    <x v="0"/>
    <m/>
    <s v="5 DE MAYO EN ELABORACION DE LA FPA Y CC_x000a_17 de mayo publicado_x000a_23 DE MAYO EN EVALUACION SOBRE 1_x000a_3 DE JUNIO EN EVALUACION SOBRE 1_x000a_9 de junio en evaluacion sobre 1_x000a_17 DE JUNIO CERRADO PORQUE QUEDO INADMISIBLE"/>
    <d v="2022-06-07T00:00:00"/>
    <x v="5"/>
    <s v="jun"/>
    <n v="43"/>
    <n v="42"/>
    <x v="3"/>
    <s v="INVERSION"/>
    <x v="0"/>
    <m/>
    <m/>
    <m/>
    <m/>
    <m/>
    <m/>
    <m/>
    <m/>
    <m/>
    <m/>
    <m/>
    <m/>
    <m/>
    <m/>
    <x v="0"/>
    <m/>
    <m/>
  </r>
  <r>
    <n v="246"/>
    <s v="0289"/>
    <x v="6"/>
    <d v="2022-04-26T00:00:00"/>
    <x v="4"/>
    <s v="GTI0082"/>
    <s v="FR-200-GTI-0098-2022"/>
    <s v="N/A"/>
    <s v="Servicio en la nube (SaaS) del software AutoCad (AutoCad Full, AutoCad LT)"/>
    <n v="97036465"/>
    <m/>
    <s v="900-IPU-0289-2022"/>
    <s v="IPU"/>
    <n v="202202916"/>
    <m/>
    <s v="N/A"/>
    <s v="N/A"/>
    <s v="Menor cuantia"/>
    <x v="0"/>
    <s v="PAOLA BELTRAN"/>
    <d v="2022-04-26T00:00:00"/>
    <e v="#VALUE!"/>
    <e v="#VALUE!"/>
    <m/>
    <s v="Cerrado"/>
    <x v="0"/>
    <d v="2022-12-09T00:00:00"/>
    <s v="16 de mayo publicado_x000a_27 DE MAYO SE RECIBEN OFERTAS_x000a_8 de junio en evaluacion sobre 1 _x000a_15 de julio publicacion del informe de evaluacion_x000a_1 DE AGOSTO EN TRAMITE DE POLIZAS 4 DE AGOSTO CONTINUA EN TRAMITEDE POLIZAS_x000a_28 DE SEPTIEMBRE EN OTRO SI POR MODIFICACION DE ITEMS_x000a_24-11-2022, Se entrego para firma del Gerente GAE, documento de terminación por mutuo a cuerdo del proceso de contratación, desde el 24 de noviembre. "/>
    <d v="2022-11-24T00:00:00"/>
    <x v="5"/>
    <s v="nov"/>
    <n v="212"/>
    <n v="212"/>
    <x v="3"/>
    <s v="FUNCIONAMIENTO"/>
    <x v="0"/>
    <m/>
    <m/>
    <m/>
    <m/>
    <m/>
    <m/>
    <m/>
    <m/>
    <m/>
    <m/>
    <m/>
    <m/>
    <m/>
    <m/>
    <x v="1"/>
    <m/>
    <m/>
  </r>
  <r>
    <n v="247"/>
    <s v="0290"/>
    <x v="2"/>
    <d v="2022-04-25T00:00:00"/>
    <x v="4"/>
    <s v="GAA0703"/>
    <s v="FR-300-GAA-0034-2022"/>
    <s v="N/A"/>
    <s v="Levantamientos planimetricos y altimetricos topograficos año 2022, para proyectos priorizados GUENAA de Acueducto y Alcantarillado"/>
    <n v="119987700"/>
    <m/>
    <s v="900-IPU-0209-2022"/>
    <s v="IPU"/>
    <n v="202201992"/>
    <m/>
    <s v="N/A"/>
    <s v="N/A"/>
    <s v="Menor cuantia"/>
    <x v="0"/>
    <s v="LINA ECHAVARRIA"/>
    <d v="2022-04-25T00:00:00"/>
    <e v="#VALUE!"/>
    <e v="#VALUE!"/>
    <s v="NO"/>
    <s v="Devuelto"/>
    <x v="2"/>
    <m/>
    <s v="17 de mayo el area solicito unos ajustes y solicito devolverla"/>
    <d v="2022-05-17T00:00:00"/>
    <x v="5"/>
    <s v="may"/>
    <n v="22"/>
    <n v="22"/>
    <x v="2"/>
    <s v="FUNCIONAMIENTO"/>
    <x v="0"/>
    <m/>
    <m/>
    <m/>
    <m/>
    <m/>
    <m/>
    <m/>
    <m/>
    <m/>
    <m/>
    <m/>
    <m/>
    <m/>
    <m/>
    <x v="0"/>
    <m/>
    <m/>
  </r>
  <r>
    <n v="248"/>
    <s v="0291"/>
    <x v="2"/>
    <d v="2022-04-27T00:00:00"/>
    <x v="4"/>
    <s v="GAA0388_x000a_GAA0389_x000a_GAA0390_x000a_GAA0391"/>
    <s v="FR-300-GAA-0143-2022"/>
    <s v="300-CMA-1974-2020"/>
    <s v="Suministro de materiales, elementos de ferreteria, herramientas, equipos menores y elementos afines para la Unidad de Bombeo"/>
    <n v="54848358"/>
    <m/>
    <s v="N/A"/>
    <m/>
    <s v="202201837_x000a_202201838_x000a_202201839_x000a_202201840"/>
    <m/>
    <s v="N/A"/>
    <s v="N/A"/>
    <s v="N/A"/>
    <x v="1"/>
    <s v="LUCY ARBELAEZ"/>
    <d v="2022-04-27T00:00:00"/>
    <n v="-44678"/>
    <n v="-44678"/>
    <s v="SI"/>
    <s v="Entregado al area"/>
    <x v="1"/>
    <s v="17 de mayo en invitacion de ofertas_x000a_23 DE MAYOEN RECEPCION DE OFERTAS_x000a_9 de junio en rp"/>
    <m/>
    <d v="2022-06-29T00:00:00"/>
    <x v="10"/>
    <m/>
    <n v="63"/>
    <n v="63"/>
    <x v="0"/>
    <s v="FUNCIONAMIENTO"/>
    <x v="163"/>
    <d v="2022-06-21T00:00:00"/>
    <n v="54579607"/>
    <s v="ALMACEN  RODAFER  RF SAS_x000a_EQUIPOS Y HERRAMIENTAS INDUSTRAILES SAS"/>
    <s v="202205824_x000a_202205825"/>
    <n v="268751"/>
    <m/>
    <m/>
    <m/>
    <m/>
    <m/>
    <s v="CALI"/>
    <s v="LOCAL"/>
    <s v="UNIDAD DE BOMBEO"/>
    <n v="4.8998914425113695E-3"/>
    <x v="0"/>
    <n v="0"/>
    <n v="63"/>
  </r>
  <r>
    <n v="249"/>
    <s v="0292"/>
    <x v="2"/>
    <d v="2022-04-27T00:00:00"/>
    <x v="4"/>
    <s v="GAA0636"/>
    <s v="FR-300-GAA-0144-2022"/>
    <s v="N/A"/>
    <s v="Suministro e Instalación de valvulas cheque para clorinadores PTAP"/>
    <n v="146915020"/>
    <m/>
    <s v="900-IPU-0292-2022"/>
    <s v="IPU"/>
    <n v="202202905"/>
    <m/>
    <s v="N/A"/>
    <s v="N/A"/>
    <s v="Menor cuantia"/>
    <x v="0"/>
    <s v="JUAN DAVID GOMEZ"/>
    <d v="2022-05-09T00:00:00"/>
    <e v="#VALUE!"/>
    <e v="#VALUE!"/>
    <s v="NO"/>
    <s v="Devuelto"/>
    <x v="2"/>
    <m/>
    <s v="Este proceso en el principio fue asignado a adalberto pero se reasigno el dia 9 de mayo a juan david rodriguez_x000a_17 de mayo en elaboracion de la fpa y cc_x000a_20 DE MAYO POR SOLICITUD DEL AREA SE DEVUELVE"/>
    <d v="2022-05-20T00:00:00"/>
    <x v="5"/>
    <s v="may"/>
    <n v="23"/>
    <n v="11"/>
    <x v="2"/>
    <s v="FUNCIONAMIENTO"/>
    <x v="0"/>
    <m/>
    <m/>
    <m/>
    <m/>
    <m/>
    <m/>
    <m/>
    <m/>
    <m/>
    <m/>
    <m/>
    <m/>
    <m/>
    <m/>
    <x v="0"/>
    <m/>
    <m/>
  </r>
  <r>
    <n v="250"/>
    <s v="0293"/>
    <x v="2"/>
    <d v="2022-04-29T00:00:00"/>
    <x v="4"/>
    <s v="GAA0280"/>
    <s v="FR-300-GAA-0135-2022"/>
    <s v="N/A"/>
    <s v="Mantenimiento preventivo y correctivo de los componentes hidráulicos, eléctricos, electrónicos. Obra civil y comunicaciones de las estaciones reguladoras de presión - ERP, puntos críticos - PC en los sectores hidráulicos materializados del sistema de distribución de agua potable de la ciudad de Cali."/>
    <n v="2199997563"/>
    <m/>
    <s v="900-IPU-293-2022"/>
    <s v="IPU"/>
    <n v="202200782"/>
    <m/>
    <s v="N/A"/>
    <s v="N/A"/>
    <s v="Mayor cuantia"/>
    <x v="0"/>
    <s v="JUAN PABLO QUIMBAYO"/>
    <d v="2022-05-05T00:00:00"/>
    <e v="#VALUE!"/>
    <e v="#VALUE!"/>
    <s v="NO"/>
    <s v="Cerrado"/>
    <x v="0"/>
    <m/>
    <s v="5 MAYO EN SOLICITUD DE CONCEPTOS SE REASIGNO A JUAN PABLO_x000a_17 de mayo en elaboracion de fpa y cc_x000a_9 de junio publicado_x000a_17 DE JUNIO EN RESPUESTA  OBSERVACIONES_x000a_30 DE JUNIO SOLICITU DE SUBSANABLES_x000a_18 DE JULIO EN EVALUACUION SOBRE 1_x000a_1 de agosto se esta realizando acta de cierre por evaluacion del proveedor negativo_x000a_"/>
    <d v="2022-08-01T00:00:00"/>
    <x v="5"/>
    <s v="ago"/>
    <n v="94"/>
    <n v="88"/>
    <x v="3"/>
    <s v="FUNCIONAMIENTO"/>
    <x v="0"/>
    <m/>
    <m/>
    <m/>
    <m/>
    <m/>
    <m/>
    <m/>
    <m/>
    <m/>
    <m/>
    <m/>
    <m/>
    <m/>
    <m/>
    <x v="0"/>
    <m/>
    <m/>
  </r>
  <r>
    <n v="251"/>
    <s v="0294"/>
    <x v="6"/>
    <d v="2022-04-29T00:00:00"/>
    <x v="4"/>
    <s v="GTI0027"/>
    <s v="FR-200-GTI-0101-2022"/>
    <s v="N/A"/>
    <s v="Renovación de las suscripciones en la nube de Microsoft Dynamics CRM"/>
    <n v="455000000"/>
    <m/>
    <s v="900-IPU-0294-2022"/>
    <s v="IPU"/>
    <n v="202203098"/>
    <m/>
    <s v="N/A"/>
    <s v="N/A"/>
    <s v="Menor cuantia"/>
    <x v="0"/>
    <s v="PAOLA BELTRAN"/>
    <d v="2022-04-30T00:00:00"/>
    <e v="#VALUE!"/>
    <e v="#VALUE!"/>
    <s v="NO"/>
    <s v="Cerrado"/>
    <x v="0"/>
    <m/>
    <s v="17 de mayo en recepcion de observaciones_x000a_9 de junio evaluacion_x000a_22 DE JUNIO CERRADO PORQUE NO CUMPLIERON LOS PROPONENTES"/>
    <d v="2022-06-22T00:00:00"/>
    <x v="5"/>
    <s v="jun"/>
    <n v="54"/>
    <n v="53"/>
    <x v="3"/>
    <s v="FUNCIONAMIENTO"/>
    <x v="0"/>
    <m/>
    <m/>
    <m/>
    <m/>
    <m/>
    <m/>
    <m/>
    <m/>
    <m/>
    <m/>
    <m/>
    <m/>
    <m/>
    <m/>
    <x v="1"/>
    <m/>
    <m/>
  </r>
  <r>
    <n v="252"/>
    <s v="0295"/>
    <x v="2"/>
    <d v="2022-04-29T00:00:00"/>
    <x v="4"/>
    <s v="GAA0374_x000a_GAA0375"/>
    <s v="FR-300-GAA-0142-2022"/>
    <s v="N/A"/>
    <s v="Suministro de elementos eléctricos para todas las estaciones de bombeo de aguas lluvias y/o residuales"/>
    <n v="62022081"/>
    <m/>
    <s v="900-IPU-0295-2022"/>
    <s v="IPU"/>
    <n v="202201836"/>
    <m/>
    <s v="N/A"/>
    <s v="N/A"/>
    <s v="Menor cuantia"/>
    <x v="0"/>
    <s v="LINA ECHAVARRIA"/>
    <d v="2022-05-02T00:00:00"/>
    <e v="#VALUE!"/>
    <e v="#VALUE!"/>
    <s v="NO"/>
    <s v="Cerrado"/>
    <x v="0"/>
    <m/>
    <s v="11 de mayo en inteligencia de mercado_x000a_17 de mayo esperando la firma del gerente gae_x000a_25 DE MAYO SE RECIBEN OFERTAS_x000a_9 de junio en evaluacion de subsanables_x000a_30 de junio se realizo comité y se va a cerrar_x000a_12 DE JULIO CERRADO PORQUE LA PROPUESTA FUE INADMISIBLE"/>
    <d v="2022-07-12T00:00:00"/>
    <x v="5"/>
    <s v="jul"/>
    <n v="74"/>
    <n v="71"/>
    <x v="3"/>
    <s v="FUNCIONAMIENTO"/>
    <x v="0"/>
    <m/>
    <m/>
    <m/>
    <m/>
    <m/>
    <m/>
    <m/>
    <m/>
    <m/>
    <m/>
    <m/>
    <m/>
    <m/>
    <m/>
    <x v="0"/>
    <m/>
    <m/>
  </r>
  <r>
    <n v="253"/>
    <s v="0296"/>
    <x v="5"/>
    <d v="2022-05-02T00:00:00"/>
    <x v="5"/>
    <s v="GHA0202"/>
    <s v="FR-800-GAGHA-0153-2022"/>
    <s v="800-CMA-1916-2021"/>
    <s v="Contrato Marco para realizar los mantenimientos locativos, en la Gerencia Unidad Estrategica de Negocio de Energía"/>
    <n v="36514969"/>
    <s v="28 DE NOV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_x000a_18 de agosto en revision de invitacion por cambio del cambio de la forma de pago"/>
    <m/>
    <d v="2022-09-21T00:00:00"/>
    <x v="11"/>
    <m/>
    <n v="142"/>
    <n v="142"/>
    <x v="0"/>
    <s v="FUNCIONAMIENTO"/>
    <x v="164"/>
    <d v="2022-09-07T00:00:00"/>
    <n v="36514969"/>
    <s v="CONSORCIO IGS 2021"/>
    <n v="202208357"/>
    <n v="0"/>
    <m/>
    <m/>
    <m/>
    <m/>
    <m/>
    <s v="CALI"/>
    <s v="LOCAL"/>
    <s v="UNIDAD GESTIÓN ADMINISTRATIVA"/>
    <n v="0"/>
    <x v="1"/>
    <n v="0"/>
    <n v="142"/>
  </r>
  <r>
    <n v="254"/>
    <s v="0297"/>
    <x v="5"/>
    <d v="2022-05-02T00:00:00"/>
    <x v="5"/>
    <s v="GHA0230"/>
    <s v="FR-800-GAGHA-0154-2022"/>
    <s v="800-CMA-1925-2021"/>
    <s v="Contrato Marco para realizar los mantenimientos  locativos, en las Gerencias adscritas al corporativo, que surjan de improviso"/>
    <n v="50000000"/>
    <s v="31 DE DICIEMBRE 2022"/>
    <s v="N/A"/>
    <m/>
    <n v="202203027"/>
    <n v="136514969"/>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i"/>
    <m/>
    <d v="2022-09-21T00:00:00"/>
    <x v="11"/>
    <m/>
    <n v="142"/>
    <n v="142"/>
    <x v="0"/>
    <s v="FUNCIONAMIENTO"/>
    <x v="165"/>
    <d v="2022-09-07T00:00:00"/>
    <n v="50000000"/>
    <s v="CONSORCIO DOMAQ 2021"/>
    <n v="202208355"/>
    <n v="0"/>
    <m/>
    <m/>
    <m/>
    <m/>
    <m/>
    <s v="CALI"/>
    <s v="LOCAL"/>
    <s v="UNIDAD GESTIÓN ADMINISTRATIVA"/>
    <n v="0"/>
    <x v="1"/>
    <n v="0"/>
    <n v="142"/>
  </r>
  <r>
    <n v="255"/>
    <s v="0298"/>
    <x v="5"/>
    <d v="2022-05-02T00:00:00"/>
    <x v="5"/>
    <s v="GHA0235"/>
    <s v="FR-800-GAGHA-0155-2022"/>
    <s v="800-CMA-1913-2021"/>
    <s v="Contrato Marco para realizar los mantenimientos locativos, en las sedes adscritas a la Gerencia de Unidad de Negocio de Tecnología de la Información y Telecomunicaciones de EMCALI EICE ESP, que surjan de improviso"/>
    <n v="50000000"/>
    <s v="31 DE DICIEMBRE 2022"/>
    <s v="N/A"/>
    <m/>
    <n v="202203499"/>
    <m/>
    <s v="N/A"/>
    <s v="N/A"/>
    <s v="N/A"/>
    <x v="1"/>
    <s v="FRANCIA RAMÍREZ"/>
    <d v="2022-05-02T00:00:00"/>
    <e v="#VALUE!"/>
    <e v="#VALUE!"/>
    <s v="SI"/>
    <s v="Entregado al area"/>
    <x v="1"/>
    <s v="17 de mayo para la firma de Memorando de devolucion por parte del Gerente de la GAE_x000a_19 DE MAYO SE ENVIO CORREO AL AREA PARA SOLICITAR JUSTIFICACION DE OTRO SI_x000a_9 de junio continua en la espera de la justificacion para el otro si_x000a_30 de junio esprando justificacion para otro s"/>
    <m/>
    <d v="2022-09-12T00:00:00"/>
    <x v="11"/>
    <m/>
    <n v="133"/>
    <n v="133"/>
    <x v="0"/>
    <s v="FUNCIONAMIENTO"/>
    <x v="166"/>
    <d v="2022-09-05T00:00:00"/>
    <n v="50000000"/>
    <s v="GUSTAVO ADOLFO TORRES DUARTE"/>
    <n v="202208310"/>
    <n v="0"/>
    <m/>
    <m/>
    <m/>
    <m/>
    <m/>
    <s v="BOGOTA"/>
    <s v="NACIONAL"/>
    <s v="UNIDAD GESTIÓN ADMINISTRATIVA"/>
    <n v="0"/>
    <x v="1"/>
    <n v="0"/>
    <n v="133"/>
  </r>
  <r>
    <n v="256"/>
    <s v="0299"/>
    <x v="5"/>
    <d v="2022-05-02T00:00:00"/>
    <x v="5"/>
    <s v="GHA0070"/>
    <s v="FR-800-GAGHA-0149-2022"/>
    <s v="N/A"/>
    <s v="Compra de papel fotocopia blanco láser tamaño carta y oficio de 75 gramos con logo de EMCALI y sin logo."/>
    <n v="211311108"/>
    <m/>
    <s v="900-IPU-0299-2022"/>
    <s v="IPU"/>
    <s v="202203488_x000a_202202709_x000a_202202956"/>
    <m/>
    <s v="N/A"/>
    <s v="N/A"/>
    <s v="Menor cuantia"/>
    <x v="0"/>
    <s v="LEIDY DIANA FRANCO"/>
    <d v="2022-05-02T00:00:00"/>
    <e v="#VALUE!"/>
    <e v="#VALUE!"/>
    <s v="NO"/>
    <s v="Devuelto"/>
    <x v="2"/>
    <m/>
    <s v="23 DE MAYO EN INTELIGENCIA DE MERCADO_x000a_8 DE JUNIO CERRADO PARA SACAR POR IP_x000a_ESTE PROCESO SE DEVOLVIO PORQUE LO VAN A VOLVER A RADICAR CON ESPECIFICACIONES DISTINTAS "/>
    <d v="2022-07-27T00:00:00"/>
    <x v="5"/>
    <s v="jul"/>
    <n v="86"/>
    <n v="86"/>
    <x v="3"/>
    <s v="FUNCIONAMIENTO"/>
    <x v="0"/>
    <m/>
    <m/>
    <m/>
    <m/>
    <m/>
    <m/>
    <m/>
    <m/>
    <m/>
    <m/>
    <m/>
    <m/>
    <m/>
    <m/>
    <x v="1"/>
    <m/>
    <m/>
  </r>
  <r>
    <n v="257"/>
    <s v="0300"/>
    <x v="1"/>
    <d v="2022-05-02T00:00:00"/>
    <x v="5"/>
    <s v="GE0319"/>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U-0300-2022"/>
    <s v="IPU"/>
    <n v="202202695"/>
    <m/>
    <s v="108-202200003"/>
    <s v="N/A"/>
    <s v="Mayor cuantia"/>
    <x v="0"/>
    <s v="JUAN PABLO QUIMBAYO"/>
    <d v="2022-05-02T00:00:00"/>
    <e v="#VALUE!"/>
    <e v="#VALUE!"/>
    <s v="NO"/>
    <s v="Cerrado"/>
    <x v="0"/>
    <m/>
    <s v="17 de mayo en elaboracion de fpa y cc_x000a_9 junio en revision de la cc gae_x000a_17 DE JUNIO EN REVISION POR PARTE DEL GERENTE_x000a_30 DE JUNIO EN REVISION JURIDICA_x000a_18 DE JULIO ENR ECEPCION DE OFERTAS_x000a_1 de agosto se esta representaron la polizas"/>
    <d v="2022-08-01T00:00:00"/>
    <x v="5"/>
    <s v="ago"/>
    <n v="91"/>
    <n v="91"/>
    <x v="3"/>
    <s v="FUNCIONAMIENTO"/>
    <x v="0"/>
    <m/>
    <m/>
    <m/>
    <m/>
    <m/>
    <m/>
    <m/>
    <m/>
    <m/>
    <m/>
    <m/>
    <m/>
    <m/>
    <m/>
    <x v="0"/>
    <m/>
    <m/>
  </r>
  <r>
    <n v="258"/>
    <s v="0301"/>
    <x v="2"/>
    <d v="2022-05-05T00:00:00"/>
    <x v="5"/>
    <s v="GAA0667"/>
    <s v="FR-300-GAA-0148-2022"/>
    <s v="N/A"/>
    <s v="Suministro valvulas bocatoma Río Cauca"/>
    <n v="137054145"/>
    <m/>
    <s v="900-IPU-0301-2022"/>
    <s v="IPU"/>
    <n v="202203121"/>
    <m/>
    <s v="N/A"/>
    <s v="N/A"/>
    <s v="Menor cuantia"/>
    <x v="0"/>
    <s v="LINA ECHAVARRIA"/>
    <d v="2022-05-10T00:00:00"/>
    <e v="#VALUE!"/>
    <e v="#VALUE!"/>
    <s v="NO"/>
    <s v="CERRADO PARA TRAMITAR COMO IP "/>
    <x v="0"/>
    <m/>
    <s v="17 de mayo en inteligencia de mercado_x000a_24 DE MAYO EN INTELIGENCIA DE MERCADO_x000a_9 de junio pendiente firma de la fpa y cc"/>
    <d v="2022-06-09T00:00:00"/>
    <x v="5"/>
    <s v="jun"/>
    <n v="35"/>
    <n v="30"/>
    <x v="3"/>
    <s v="FUNCIONAMIENTO"/>
    <x v="0"/>
    <m/>
    <m/>
    <m/>
    <m/>
    <m/>
    <m/>
    <m/>
    <m/>
    <m/>
    <m/>
    <m/>
    <m/>
    <m/>
    <m/>
    <x v="0"/>
    <m/>
    <m/>
  </r>
  <r>
    <n v="259"/>
    <s v="0302"/>
    <x v="2"/>
    <d v="2022-05-05T00:00:00"/>
    <x v="5"/>
    <s v="GAA0623"/>
    <s v="FR-300-GAA-0145-2022"/>
    <s v="N/A"/>
    <s v="Overhaul Unidades de Bombeo para las Plantas de Tratamiento de Agua Potable de la Rivera, Río Cali y La Reforma"/>
    <n v="279990389"/>
    <s v="31 DE DICIEMBRE 2022"/>
    <s v="900-IPU-0217-2022"/>
    <m/>
    <n v="202202920"/>
    <n v="280000000"/>
    <s v="N/A"/>
    <s v="N/A"/>
    <s v="Menor cuantia"/>
    <x v="0"/>
    <s v="HAROLD MONDRAGON"/>
    <d v="2022-05-10T00:00:00"/>
    <e v="#VALUE!"/>
    <e v="#VALUE!"/>
    <s v="SI"/>
    <s v="Entregado al area"/>
    <x v="1"/>
    <s v="17 de mayo en elaboracion de fpa y cc_x000a_23 DE MAYO EN REVISION DE LA CC_x000a_Reasignado a juan pablo Quimbayo_x000a_18 DE JULIO EN EVALUACION SOBRE 2_x000a_1 de agosto en comite sobre 2"/>
    <m/>
    <d v="2022-09-02T00:00:00"/>
    <x v="11"/>
    <m/>
    <n v="120"/>
    <n v="115"/>
    <x v="0"/>
    <s v="FUNCIONAMIENTO"/>
    <x v="167"/>
    <d v="2022-08-19T00:00:00"/>
    <n v="271765060"/>
    <s v="PAYAN Y CIA LTDA "/>
    <n v="202208264"/>
    <n v="8225329"/>
    <m/>
    <m/>
    <m/>
    <m/>
    <m/>
    <s v="CALI"/>
    <s v="LOCAL"/>
    <s v="UNIDAD DE MANTENIMIENTO"/>
    <n v="2.9377183371819236E-2"/>
    <x v="0"/>
    <n v="2"/>
    <n v="109"/>
  </r>
  <r>
    <n v="260"/>
    <s v="0303"/>
    <x v="2"/>
    <d v="2022-05-04T00:00:00"/>
    <x v="5"/>
    <s v="GAA0303"/>
    <s v="FR-300-GAA-0059-2022"/>
    <s v="N/A"/>
    <s v="Mantenimiento sistema Scada a estaciones y plantas de tratamiento de Agua Potable"/>
    <n v="179985537"/>
    <s v="120 DIAS"/>
    <s v="900-IPU-0303-2022"/>
    <m/>
    <n v="202200892"/>
    <m/>
    <s v="N/A"/>
    <s v="N/A"/>
    <s v="Menor cuantia"/>
    <x v="0"/>
    <s v="HAROLD MONDRAGON"/>
    <d v="2022-05-10T00:00:00"/>
    <n v="-44685"/>
    <n v="-44691"/>
    <s v="SI"/>
    <s v="Entregado al area"/>
    <x v="1"/>
    <s v="17 de mayo publicado esperando recepcion de ofertas_x000a_25 DE MAYO RECEPCION DE OFERTAS_x000a_9 DE JUNIO ESPERANDO  COMITÉ_x000a_30 DE JUNIO PUBLICACION DE INFORME DE EVALUACION_x000a_18 DE JULIO EN APROBACION DE POLIZAS"/>
    <m/>
    <d v="2022-07-19T00:00:00"/>
    <x v="10"/>
    <m/>
    <n v="76"/>
    <n v="70"/>
    <x v="0"/>
    <s v="FUNCIONAMIENTO"/>
    <x v="168"/>
    <d v="2022-07-08T00:00:00"/>
    <n v="176439396"/>
    <s v="CONINFRAESTRUCTURA SAS"/>
    <m/>
    <n v="3546141"/>
    <m/>
    <m/>
    <m/>
    <m/>
    <m/>
    <s v="BOGOTA"/>
    <s v="NACIONAL"/>
    <s v="UNIDAD DE MANTENIMIENTO"/>
    <n v="1.9702366418475059E-2"/>
    <x v="0"/>
    <n v="2"/>
    <n v="76"/>
  </r>
  <r>
    <n v="261"/>
    <s v="0304"/>
    <x v="6"/>
    <d v="2022-05-09T00:00:00"/>
    <x v="5"/>
    <s v="GTI0183"/>
    <s v="FR-200-GTI-0103-2022"/>
    <s v="N/A"/>
    <s v="Prestar los servicios de Cloud Funtional Services, Features y Parameters para la solución SAP Ariba Sourcing Suite de EMCALI EICE ESP"/>
    <n v="90170000"/>
    <m/>
    <m/>
    <s v=""/>
    <n v="202203526"/>
    <m/>
    <s v="N/A"/>
    <s v="N/A"/>
    <s v="Menor cuantia"/>
    <x v="3"/>
    <s v="PABLO CAICEDO"/>
    <d v="2022-05-19T00:00:00"/>
    <e v="#VALUE!"/>
    <e v="#VALUE!"/>
    <s v="NO"/>
    <s v="CERRADO PARA TRAMITAR COMO IP "/>
    <x v="0"/>
    <m/>
    <m/>
    <d v="2022-06-07T00:00:00"/>
    <x v="5"/>
    <s v="jun"/>
    <n v="29"/>
    <n v="19"/>
    <x v="3"/>
    <s v="FUNCIONAMIENTO"/>
    <x v="0"/>
    <m/>
    <m/>
    <m/>
    <m/>
    <m/>
    <m/>
    <m/>
    <m/>
    <m/>
    <m/>
    <m/>
    <m/>
    <m/>
    <m/>
    <x v="1"/>
    <m/>
    <m/>
  </r>
  <r>
    <n v="262"/>
    <s v="0305"/>
    <x v="1"/>
    <d v="2022-05-09T00:00:00"/>
    <x v="5"/>
    <s v="GE0323"/>
    <s v="FR-500-GE-0192-2022"/>
    <s v="CMA-1743-2021"/>
    <s v="Suministro de Cables y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151903500"/>
    <m/>
    <s v="N/A"/>
    <m/>
    <n v="202203896"/>
    <m/>
    <s v="N/A"/>
    <s v="N/A"/>
    <s v="N/A"/>
    <x v="1"/>
    <s v="ESTEFANIA SANCHEZ"/>
    <d v="2022-05-09T00:00:00"/>
    <e v="#REF!"/>
    <e v="#REF!"/>
    <m/>
    <s v="Entregado al area"/>
    <x v="1"/>
    <s v="24 DE MAYO EN SOLICITUD DE POLIZAS"/>
    <m/>
    <d v="2022-06-02T00:00:00"/>
    <x v="9"/>
    <m/>
    <n v="24"/>
    <n v="24"/>
    <x v="0"/>
    <s v="FUNCIONAMIENTO"/>
    <x v="169"/>
    <d v="2022-05-17T00:00:00"/>
    <n v="144299400"/>
    <s v="CENTELSA SA"/>
    <n v="202205444"/>
    <n v="7604100"/>
    <m/>
    <m/>
    <m/>
    <m/>
    <m/>
    <s v="YUMBO"/>
    <s v="LOCAL"/>
    <m/>
    <n v="5.0058754406580495E-2"/>
    <x v="0"/>
    <n v="0"/>
    <n v="24"/>
  </r>
  <r>
    <n v="263"/>
    <s v="0306"/>
    <x v="6"/>
    <d v="2022-05-10T00:00:00"/>
    <x v="5"/>
    <s v="GTI0063"/>
    <s v="FR-200-GTI-0104-2022"/>
    <s v="N/A"/>
    <s v="Suscripción por un año, para obtener los servicios de soporte remoto, solución de fallas, actualización de software parches de seguridad entre otros sobre licenciamiento Liferay que soporta el portal y la Intranet de EMCALI"/>
    <n v="295048440"/>
    <m/>
    <s v="900-IPU-0306-2022"/>
    <s v="IPU"/>
    <s v="202201910_x000a_202203591"/>
    <m/>
    <s v="N/A"/>
    <s v="N/A"/>
    <s v="Menor cuantia"/>
    <x v="0"/>
    <s v="PAOLA BELTRAN"/>
    <d v="2022-05-18T00:00:00"/>
    <e v="#VALUE!"/>
    <e v="#VALUE!"/>
    <s v="NO"/>
    <s v="Cerrado"/>
    <x v="0"/>
    <m/>
    <s v="13 de junio en recepcion de ofertas_x000a_15 de julio en elaboracion de acta de cierre, las propuestas fueron inadmisibles"/>
    <d v="2022-07-15T00:00:00"/>
    <x v="5"/>
    <s v="jul"/>
    <n v="66"/>
    <n v="58"/>
    <x v="3"/>
    <s v="FUNCIONAMIENTO"/>
    <x v="0"/>
    <m/>
    <m/>
    <m/>
    <m/>
    <m/>
    <e v="#VALUE!"/>
    <m/>
    <m/>
    <m/>
    <m/>
    <m/>
    <m/>
    <m/>
    <m/>
    <x v="1"/>
    <m/>
    <m/>
  </r>
  <r>
    <n v="264"/>
    <s v="0307"/>
    <x v="2"/>
    <d v="2022-05-11T00:00:00"/>
    <x v="5"/>
    <s v="GAA0706"/>
    <s v="FR-300-GAA-0149-2022"/>
    <s v="N/A"/>
    <s v="Prestación de los servicios de gestión operativo comercial ejecutando en terreno las actividades de (SCRR) suspenciones, seguimiento a la suspención, cortes, seguimiento al corte, reconexiones, reinstalaciones, clausuras del servicio, la gestión de irregularidades del servicio y actividades complementarias de gestión comunitaria socializando el proceso de SCRR apoyando las actividades en terreno de gestión de cartera, para los servicios públicos domiciliarios del servicio de Acueducto de EMCALI EICE ESP en los municipios de Cali, Yumbo, Palmira, Candelaria y dentro de su área de influencia y cobertura en la prestación de servicios públicos de EMCALI EICE ESP."/>
    <n v="10836638404"/>
    <s v="28 DE NOVIEMBRE 2024"/>
    <s v="900-IPU-0307-2022"/>
    <m/>
    <n v="202201712"/>
    <m/>
    <s v="108-202200002"/>
    <n v="2800000000"/>
    <s v="Mayor cuantia"/>
    <x v="0"/>
    <s v="HAROLD MONDRAGON"/>
    <d v="2022-05-12T00:00:00"/>
    <n v="126"/>
    <n v="125"/>
    <s v="SI"/>
    <s v="Entregado al area"/>
    <x v="1"/>
    <s v="12 DE MAYO EN SOLICTUD DE CONCEPTOS_x000a_17 de mayo en elaboracion de fpa y cc_x000a_24 DE MAYO EN REVISION EN JURIDICA_x000a_9 DE JUNIO EN RESPUESTAS A OBSERVACIONES_x000a_30 DE JUNIO EN SOLICITUD DE SUBSANABLES_x000a_JULIO 18 PARA COMITÉ SOBRE 1_x000a_1 DE AGOSTO EN EVALUACION SOBRE 2. 5 DE AGOSTO EN ADJUDICACION._x000a_29 de agosto enviado al area"/>
    <m/>
    <d v="2022-08-29T00:00:00"/>
    <x v="1"/>
    <m/>
    <n v="110"/>
    <n v="109"/>
    <x v="0"/>
    <s v="FUNCIONAMIENTO"/>
    <x v="170"/>
    <d v="2022-08-19T00:00:00"/>
    <n v="10770820097"/>
    <s v="DELTEC SA"/>
    <n v="202207861"/>
    <n v="65818307"/>
    <m/>
    <m/>
    <m/>
    <m/>
    <m/>
    <s v="CALI"/>
    <s v="LOCAL"/>
    <s v="UNIDAD DE CONTROL INTEGRAL DE PERDIDAS DE AGUA"/>
    <n v="6.0736830506133033E-3"/>
    <x v="0"/>
    <n v="2"/>
    <n v="110"/>
  </r>
  <r>
    <n v="265"/>
    <s v="0308"/>
    <x v="2"/>
    <d v="2022-05-11T00:00:00"/>
    <x v="5"/>
    <s v="N/A"/>
    <s v="FR-300-GAA-0150-2022"/>
    <s v="N/A"/>
    <s v="Suministrar coagulante líquido para ser utilizado en el tratamiento de las aguas residuales en la PTAR C."/>
    <m/>
    <m/>
    <m/>
    <s v=""/>
    <s v="N/A"/>
    <m/>
    <s v="N/A"/>
    <s v="N/A"/>
    <s v="N/A"/>
    <x v="3"/>
    <s v="AYDEE OVALLE"/>
    <d v="2022-05-11T00:00:00"/>
    <e v="#VALUE!"/>
    <e v="#VALUE!"/>
    <s v="NO"/>
    <s v="Devuelto"/>
    <x v="2"/>
    <m/>
    <s v="18 de mayo se realizara un workshop con los proveedores y el area tecnica. En revision de requisitos tecnicos por parte del area_x000a_23 DE MAYO EN ELABORACION DE LA ESTRATEGIA PARA AJUSTAR PRECIOS CADA TRES MESES_x000a_10 de junio reunion con andesco para definir la situacion_x000a_18 de julio esperando info del area_x000a_2 de agosto esprando reunion con el area para definir la situacion"/>
    <d v="2022-08-09T00:00:00"/>
    <x v="5"/>
    <s v="ago"/>
    <n v="90"/>
    <n v="90"/>
    <x v="3"/>
    <s v="FUNCIONAMIENTO"/>
    <x v="0"/>
    <m/>
    <m/>
    <m/>
    <m/>
    <m/>
    <m/>
    <m/>
    <m/>
    <m/>
    <m/>
    <m/>
    <m/>
    <m/>
    <m/>
    <x v="0"/>
    <m/>
    <m/>
  </r>
  <r>
    <n v="266"/>
    <s v="0309"/>
    <x v="2"/>
    <d v="2022-05-12T00:00:00"/>
    <x v="5"/>
    <s v="GAA0580"/>
    <s v="FR-300-GAA-0146-2022"/>
    <s v="N/A"/>
    <s v="Mantenimiento preventivo y correctivo de Equipos menores, necesarios para el buen funcionamiento de los equipos de esta forma evitar posibles deterioros y poder garantizar la ejecución de los procesos de acometidas fugas y prorrateos adscritos a la Unidad de Soporte Operativo de la GUENAA"/>
    <n v="153986000"/>
    <s v="120 DIAS"/>
    <s v="900-IPU-0309-2022"/>
    <m/>
    <n v="202203564"/>
    <m/>
    <s v="N/A"/>
    <s v="N/A"/>
    <s v="Menor cuantia"/>
    <x v="0"/>
    <s v="PAOLA BELTRAN"/>
    <d v="2022-05-13T00:00:00"/>
    <n v="125"/>
    <n v="124"/>
    <s v="SI"/>
    <s v="Entregado al area"/>
    <x v="1"/>
    <s v="17 de mayo en solicitud de conceptos_x000a_9 de junio se reciben ofertas_x000a_15 de julio publicacion del informe de evaluacion_x000a_1 AGOSTO EN ELABORACION DE ACEPTACION. ESPERANDO EL TRAMITE DE CAMBIO DE IMPUTACION."/>
    <s v="GESTIONANDO TODAVIA LA IMPUTACION PRESUPEUSTAL"/>
    <d v="2022-08-22T00:00:00"/>
    <x v="1"/>
    <m/>
    <n v="102"/>
    <n v="101"/>
    <x v="0"/>
    <s v="FUNCIONAMIENTO"/>
    <x v="171"/>
    <d v="2022-08-19T00:00:00"/>
    <n v="148519461"/>
    <s v="IMATIC INGENIERIA SAS"/>
    <n v="202207856"/>
    <n v="5466539"/>
    <m/>
    <m/>
    <m/>
    <m/>
    <m/>
    <s v="CALI"/>
    <s v="LOCAL"/>
    <s v="UNIDAD DE SOPORTE OPERATIVO"/>
    <n v="3.5500233787487172E-2"/>
    <x v="0"/>
    <n v="2"/>
    <n v="102"/>
  </r>
  <r>
    <n v="267"/>
    <s v="0310"/>
    <x v="1"/>
    <d v="2022-05-12T00:00:00"/>
    <x v="5"/>
    <s v="GE0324"/>
    <s v="FR-500-GE-0197-2022"/>
    <s v="N/A"/>
    <s v="Suministro de Medidores de Energía Electronicos para Medida Directa"/>
    <n v="667336173"/>
    <m/>
    <s v="900-IPU-0310-2022"/>
    <s v="IPU"/>
    <n v="202203902"/>
    <m/>
    <s v="N/A"/>
    <s v="N/A"/>
    <s v="Mayor cuantia"/>
    <x v="0"/>
    <s v="HAROLD MONDRAGON"/>
    <d v="2022-05-13T00:00:00"/>
    <e v="#VALUE!"/>
    <e v="#VALUE!"/>
    <s v="NO"/>
    <s v="Cerrado"/>
    <x v="0"/>
    <m/>
    <s v="17 de mayo esperando info del area_x000a_10 de junio en recepcion de ofertas_x000a_17 DE JUNIO EN RECEPCION DE SIBSANEBLES_x000a_30 DE JUNIO EN REVISION JURIDICA_x000a_18 DE JULIO SE VA A CERRAR PORQUE NINGUN OFERENTE CUMPLIO. 5 DE AGOSTO SE CERRO Y SE ABRIO POR LITERAL B_x000a_"/>
    <d v="2022-07-18T00:00:00"/>
    <x v="5"/>
    <s v="jul"/>
    <n v="67"/>
    <n v="66"/>
    <x v="3"/>
    <s v="FUNCIONAMIENTO"/>
    <x v="0"/>
    <m/>
    <m/>
    <m/>
    <m/>
    <m/>
    <m/>
    <m/>
    <m/>
    <m/>
    <m/>
    <m/>
    <m/>
    <m/>
    <m/>
    <x v="0"/>
    <m/>
    <m/>
  </r>
  <r>
    <n v="268"/>
    <s v="0311"/>
    <x v="1"/>
    <d v="2022-05-12T00:00:00"/>
    <x v="5"/>
    <s v="GE0243"/>
    <s v="FR-500-GE-0200-2022"/>
    <s v="N/A"/>
    <s v="Suministro de Equipo Cabrestante Portacarrete Portatil Motorizado"/>
    <n v="269000000"/>
    <m/>
    <s v="900-IPU-0311-2022"/>
    <s v="IPU"/>
    <n v="202203909"/>
    <m/>
    <s v="N/A"/>
    <s v="N/A"/>
    <s v="Menor cuantia"/>
    <x v="0"/>
    <s v="JULIETA ORTIZ"/>
    <d v="2022-05-13T00:00:00"/>
    <e v="#VALUE!"/>
    <e v="#VALUE!"/>
    <s v="NO"/>
    <s v="CERRADO PARA TRAMITAR COMO IP "/>
    <x v="0"/>
    <m/>
    <s v="24 DE MAYO EN SOLICITUD DE CONCEPTOS Y ESPRANDO INFO DEL AREA_x000a_2 de Junio en espera de la IM_x000a_8 de junio se cierra para realizarlo por IP "/>
    <d v="2022-06-08T00:00:00"/>
    <x v="5"/>
    <s v="jun"/>
    <n v="27"/>
    <n v="26"/>
    <x v="2"/>
    <s v="INVERSION"/>
    <x v="0"/>
    <m/>
    <m/>
    <m/>
    <m/>
    <m/>
    <m/>
    <m/>
    <m/>
    <m/>
    <m/>
    <m/>
    <m/>
    <m/>
    <m/>
    <x v="0"/>
    <m/>
    <m/>
  </r>
  <r>
    <n v="269"/>
    <s v="0312"/>
    <x v="7"/>
    <d v="2022-05-13T00:00:00"/>
    <x v="5"/>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m/>
    <s v="900-IPU-0312-2022"/>
    <s v="IPU"/>
    <n v="202203583"/>
    <m/>
    <s v="N/A"/>
    <s v="N/A"/>
    <s v="Menor cuantia"/>
    <x v="0"/>
    <s v="PAOLA BELTRAN"/>
    <d v="2022-05-18T00:00:00"/>
    <e v="#VALUE!"/>
    <e v="#VALUE!"/>
    <s v="NO"/>
    <s v="CERRADO PARA TRAMITAR COMO IP "/>
    <x v="0"/>
    <m/>
    <s v="24 DE MAYO EN ELABORACION DE FPA E INVITACION SE MANEJARA COMO IP_x000a_8 de junio se cierra porque se va a tramitar por ip despues de la ley de garantias"/>
    <d v="2022-06-08T00:00:00"/>
    <x v="5"/>
    <s v="jun"/>
    <n v="26"/>
    <n v="21"/>
    <x v="3"/>
    <s v="FUNCIONAMIENTO"/>
    <x v="0"/>
    <m/>
    <m/>
    <m/>
    <m/>
    <m/>
    <m/>
    <m/>
    <m/>
    <m/>
    <m/>
    <m/>
    <m/>
    <m/>
    <m/>
    <x v="1"/>
    <m/>
    <m/>
  </r>
  <r>
    <n v="270"/>
    <s v="0313"/>
    <x v="2"/>
    <d v="2022-05-16T00:00:00"/>
    <x v="5"/>
    <s v="PENDIENTE"/>
    <s v="FR-300-GAA-0061-2022"/>
    <s v="N/A"/>
    <s v="Suministro de dos variadores de velocidad de 1250 HP A 4160 Voltios Planta de Puerto Mallarino"/>
    <n v="3058210890"/>
    <s v="4 MESES"/>
    <s v="900-IPU-0313-2022"/>
    <m/>
    <n v="202202189"/>
    <n v="3058210890"/>
    <s v="N/A"/>
    <s v="N/A"/>
    <s v="Mayor cuantia"/>
    <x v="0"/>
    <s v="HAROLD MONDRAGON"/>
    <d v="2022-05-16T00:00:00"/>
    <n v="-44697"/>
    <n v="-44697"/>
    <s v="SI"/>
    <s v="Entregado al area"/>
    <x v="1"/>
    <s v="9 de junio en evaluacion_x000a_17 DE JUNIO EN EVALUACION SOBRE 1_x000a_30 DE JUNIO EVALUACION SOBRE 2_x000a_18 DE JULIO ELABORANDO ACTA DE ADJUDICACION_x000a_19 DE JULIO CERRADO_x000a_SE CONTRATO POR IP"/>
    <m/>
    <d v="2022-07-19T00:00:00"/>
    <x v="10"/>
    <m/>
    <n v="64"/>
    <n v="64"/>
    <x v="0"/>
    <s v="INVERSION"/>
    <x v="172"/>
    <d v="2022-07-25T00:00:00"/>
    <n v="3056537055"/>
    <s v="SOPORTE A LA INGENIERIA SAS"/>
    <n v="202207239"/>
    <n v="1673835"/>
    <m/>
    <m/>
    <m/>
    <m/>
    <m/>
    <s v="CALI"/>
    <s v="LOCAL"/>
    <s v="UNIDAD DE MANTENIMIENTO"/>
    <n v="5.4732490995740323E-4"/>
    <x v="0"/>
    <n v="2"/>
    <n v="64"/>
  </r>
  <r>
    <n v="271"/>
    <s v="0314"/>
    <x v="2"/>
    <d v="2022-05-17T00:00:00"/>
    <x v="5"/>
    <s v="GAA0378"/>
    <s v="FR-300-GAA-0151-2022"/>
    <s v="N/A"/>
    <s v="Mantenimiento equipos menores estaciones de bombeo de aguas lluvias y/o residuales"/>
    <n v="170109720"/>
    <m/>
    <s v="900-IPU-0316-2022"/>
    <s v="IPU"/>
    <n v="202201832"/>
    <m/>
    <s v="N/A"/>
    <s v="N/A"/>
    <s v="Menor cuantia"/>
    <x v="0"/>
    <s v="LINA ECHAVARRIA"/>
    <d v="2022-05-18T00:00:00"/>
    <e v="#VALUE!"/>
    <e v="#VALUE!"/>
    <s v="NO"/>
    <s v="CERRADO PARA TRAMITAR COMO IP "/>
    <x v="0"/>
    <m/>
    <s v="25 DE MAYO ELABOORACION FPA"/>
    <d v="2022-05-25T00:00:00"/>
    <x v="5"/>
    <s v="may"/>
    <n v="8"/>
    <n v="7"/>
    <x v="3"/>
    <s v="FUNCIONAMIENTO"/>
    <x v="0"/>
    <m/>
    <m/>
    <m/>
    <m/>
    <m/>
    <m/>
    <m/>
    <m/>
    <m/>
    <m/>
    <m/>
    <m/>
    <m/>
    <m/>
    <x v="0"/>
    <m/>
    <m/>
  </r>
  <r>
    <n v="272"/>
    <s v="0315"/>
    <x v="1"/>
    <d v="2022-05-19T00:00:00"/>
    <x v="5"/>
    <s v="GE0324"/>
    <s v="FR-500-GE-0202-2022"/>
    <s v="N/A"/>
    <s v="Realizar empradización de la Plaza de Caycedo y Suministro de rollos de plástico"/>
    <n v="51600000"/>
    <s v="30 dias"/>
    <s v="900-IP-0315-2022"/>
    <m/>
    <n v="202203997"/>
    <n v="51600000"/>
    <s v="N/A"/>
    <s v="N/A"/>
    <s v="Menor cuantia"/>
    <x v="2"/>
    <s v="CRISTHIAN BURBANO"/>
    <d v="2022-05-19T00:00:00"/>
    <n v="-44700"/>
    <n v="-44700"/>
    <s v="SI"/>
    <s v="Entregado al area"/>
    <x v="1"/>
    <s v="este procesos se sacara como una ip, a la espera que termine la ley de garantias_x000a_17 de junio en solicitud de conceptos_x000a_30 de junio en recepcion de ofertas_x000a_18 de julio en espera de la poliza por parte del proveedor"/>
    <m/>
    <d v="2022-07-26T00:00:00"/>
    <x v="10"/>
    <m/>
    <n v="68"/>
    <n v="68"/>
    <x v="2"/>
    <s v="FUNCIONAMIENTO"/>
    <x v="173"/>
    <d v="2022-07-08T00:00:00"/>
    <n v="50763020"/>
    <s v="PONTIFEX SAS"/>
    <n v="202206981"/>
    <n v="836980"/>
    <m/>
    <m/>
    <m/>
    <m/>
    <m/>
    <s v="CALI"/>
    <s v="LOCAL"/>
    <s v="SUBGERENCIA DISTRIBUCION"/>
    <n v="1.6220542635658915E-2"/>
    <x v="0"/>
    <n v="1"/>
    <n v="28"/>
  </r>
  <r>
    <n v="273"/>
    <s v="0316"/>
    <x v="0"/>
    <d v="2022-05-19T00:00:00"/>
    <x v="5"/>
    <s v="GT0231"/>
    <s v="FR-400-GT-0159-2022"/>
    <s v="N/A"/>
    <s v="Suministro de tarjetas de OLT de existentes y chasis, con el fin de contar con disponibilidad de puertos para el desarrollo del proyecto de 160,000 casa pasadas (HHPP) que permitirá comercializar los productos del portafolio de servicios de la UENTIC de EMCALI"/>
    <n v="3150000000"/>
    <s v="60 DIAS"/>
    <s v="900-IP-0316-2022"/>
    <m/>
    <n v="202203854"/>
    <m/>
    <s v="N/A"/>
    <s v="N/A"/>
    <s v="Mayor cuantia"/>
    <x v="0"/>
    <s v="HAROLD MONDRAGON"/>
    <d v="2022-05-23T00:00:00"/>
    <e v="#VALUE!"/>
    <e v="#VALUE!"/>
    <s v="SI"/>
    <s v="Entregado al area"/>
    <x v="1"/>
    <s v="25 DE MAYO EN ELABORACION FPA_x000a_9 DE JUNIO SE CIERRA PARA REALIZAR POR IP"/>
    <m/>
    <d v="2022-09-12T00:00:00"/>
    <x v="11"/>
    <m/>
    <n v="116"/>
    <n v="112"/>
    <x v="5"/>
    <s v="INVERSION"/>
    <x v="174"/>
    <d v="2022-09-06T00:00:00"/>
    <n v="3149999957"/>
    <s v="ITT SUPPLIES SAS"/>
    <n v="202208321"/>
    <n v="43"/>
    <m/>
    <m/>
    <m/>
    <m/>
    <m/>
    <s v="BOGOTA"/>
    <s v="NACIONAL"/>
    <s v="UNIDAD DE PROSPECTIVA Y DESARROLLO DE NEGOCIOS"/>
    <n v="1.3650793650793651E-8"/>
    <x v="0"/>
    <n v="2"/>
    <n v="116"/>
  </r>
  <r>
    <n v="274"/>
    <s v="0317"/>
    <x v="1"/>
    <d v="2022-05-19T00:00:00"/>
    <x v="5"/>
    <s v="GE0350"/>
    <s v="FR-500-GE-0116-2022"/>
    <s v="N/A"/>
    <s v="Calibración de equipos de prueba de medidores - EPM y un patrón Trifásico Multifunción, en la magnitud de energía eléctrica"/>
    <n v="62492850"/>
    <s v="90 dias"/>
    <s v="900-IPU-0317-2022"/>
    <s v="IPU"/>
    <n v="202201684"/>
    <m/>
    <s v="N/A"/>
    <s v="N/A"/>
    <s v="Menor cuantia"/>
    <x v="0"/>
    <s v="HAROLD MONDRAGON"/>
    <d v="2022-05-20T00:00:00"/>
    <e v="#VALUE!"/>
    <e v="#VALUE!"/>
    <s v="NO"/>
    <s v="Cerrado"/>
    <x v="0"/>
    <m/>
    <s v="9 DE JUNIO EN SUBSANABLES_x000a_30 DE JUNIO CERRADO_x000a_18 DE JULIO SE CERRO PORQUE NINGUN OFERENTE CUMPLIO Y SE SACARA POR IP"/>
    <d v="2022-07-18T00:00:00"/>
    <x v="5"/>
    <s v="jul"/>
    <n v="60"/>
    <n v="59"/>
    <x v="3"/>
    <s v="FUNCIONAMIENTO"/>
    <x v="0"/>
    <m/>
    <m/>
    <m/>
    <m/>
    <m/>
    <n v="62492850"/>
    <m/>
    <m/>
    <m/>
    <m/>
    <m/>
    <m/>
    <m/>
    <m/>
    <x v="0"/>
    <m/>
    <m/>
  </r>
  <r>
    <n v="275"/>
    <s v="0318"/>
    <x v="2"/>
    <d v="2022-05-20T00:00:00"/>
    <x v="5"/>
    <s v="GAA0650"/>
    <s v="FR-300-GAA-0153-2022"/>
    <s v="N/A"/>
    <s v="Renovar los componentes priorizados del sistema de filtración de las PTAPS de la Red Alta (Río Cali y La Reforma)"/>
    <n v="1310994372"/>
    <m/>
    <s v="900-IPU-0318-2022"/>
    <s v="IPU"/>
    <s v="202202667_x000a_202202668"/>
    <m/>
    <s v="N/A"/>
    <s v="N/A"/>
    <s v="Mayor cuantia"/>
    <x v="0"/>
    <s v="JUAN PABLO QUIMBAYO"/>
    <d v="2022-05-23T00:00:00"/>
    <e v="#VALUE!"/>
    <e v="#VALUE!"/>
    <s v="NO"/>
    <s v="Cerrado"/>
    <x v="0"/>
    <m/>
    <s v="9 de junio esperando info del area_x000a_17 DE JUNIO ESPERANDO INFO DEL AREA_x000a_18 DE JULIO EN RECEPCION DE OBSERVACIONES_x000a_1 DE AGOSTO EN EVALUQACION SOBRE 1. 5 DE AGOSTO PENDIENTE DE CERRAR Y SACAR LITERAL B"/>
    <d v="2022-08-01T00:00:00"/>
    <x v="5"/>
    <s v="ago"/>
    <n v="73"/>
    <n v="70"/>
    <x v="3"/>
    <s v="INVERSION"/>
    <x v="0"/>
    <m/>
    <m/>
    <m/>
    <m/>
    <m/>
    <m/>
    <m/>
    <m/>
    <m/>
    <m/>
    <m/>
    <m/>
    <m/>
    <m/>
    <x v="0"/>
    <m/>
    <m/>
  </r>
  <r>
    <n v="276"/>
    <s v="0319"/>
    <x v="2"/>
    <d v="2022-05-25T00:00:00"/>
    <x v="5"/>
    <s v="GAA0712"/>
    <s v="FR-300-GAA-0154-2022"/>
    <s v="300-CMA-1974-2020"/>
    <s v="Suministro de materiales de ferreteria asociados con la ejecución de acometidas de acueducto afines para EMCALI EICE ESP"/>
    <n v="19667819"/>
    <s v="90 DIAS"/>
    <s v="N/A"/>
    <m/>
    <n v="202202645"/>
    <n v="23404705"/>
    <s v="N/A"/>
    <s v="N/A"/>
    <s v="N/A"/>
    <x v="1"/>
    <s v="LUCY ARBELAEZ"/>
    <d v="2022-05-25T00:00:00"/>
    <m/>
    <m/>
    <s v="SI"/>
    <s v="Entregado al area"/>
    <x v="1"/>
    <s v="9 de junio en invitacion a ofertar"/>
    <m/>
    <d v="2022-07-15T00:00:00"/>
    <x v="10"/>
    <m/>
    <n v="51"/>
    <n v="51"/>
    <x v="0"/>
    <s v="FUNCIONAMIENTO"/>
    <x v="175"/>
    <d v="2022-06-28T00:00:00"/>
    <n v="19355438"/>
    <s v="EQUIPOS Y HERRAMIENTAS INDUSTRIALES SAS"/>
    <n v="202205861"/>
    <n v="312381"/>
    <m/>
    <m/>
    <m/>
    <m/>
    <m/>
    <s v="CALI"/>
    <s v="LOCAL"/>
    <s v="UNIDAD DE SOPORTE OPERATIVO"/>
    <n v="1.5882849033743904E-2"/>
    <x v="0"/>
    <n v="0"/>
    <n v="51"/>
  </r>
  <r>
    <n v="277"/>
    <s v="0320"/>
    <x v="2"/>
    <d v="2022-05-25T00:00:00"/>
    <x v="5"/>
    <s v="GAA0710"/>
    <s v="FR-300-GAA-0155-2022"/>
    <s v="N/A"/>
    <s v="Revisión de 10 diseños para adecuar el sistema electromecanico de las plantas de tratamiento de agua potable proyecto CONPES"/>
    <n v="113597399"/>
    <s v="31 DE DICIEMBRE 2022"/>
    <s v="900-IP-0320-2022"/>
    <m/>
    <n v="202203948"/>
    <n v="113597399"/>
    <s v="N/A"/>
    <s v="N/A"/>
    <s v="Menor cuantia"/>
    <x v="2"/>
    <s v="LINA ECHAVARRIA"/>
    <d v="2022-05-25T00:00:00"/>
    <e v="#VALUE!"/>
    <e v="#VALUE!"/>
    <s v="SI"/>
    <s v="Entregado al area"/>
    <x v="1"/>
    <s v="30 DE JUNIO EN ELABORACION DE FPA E INVITACION_x000a_AYUDARA A SACAR EL PROCESO IVAN ALDANA_x000a_1 DE AGOST EN ELABORACION DE INVITACION"/>
    <m/>
    <d v="2022-09-26T00:00:00"/>
    <x v="11"/>
    <m/>
    <n v="124"/>
    <n v="124"/>
    <x v="2"/>
    <s v="FUNCIONAMIENTO"/>
    <x v="176"/>
    <d v="2022-09-14T00:00:00"/>
    <n v="112978592"/>
    <s v="INGENIERIA ARANGO ANGEL SAS"/>
    <n v="202208433"/>
    <n v="618807"/>
    <m/>
    <m/>
    <m/>
    <m/>
    <m/>
    <s v="CALI"/>
    <s v="LOCAL"/>
    <s v="UNIDAD DE MANTENIMIENTO"/>
    <n v="5.4473694419711139E-3"/>
    <x v="0"/>
    <n v="1"/>
    <n v="76"/>
  </r>
  <r>
    <n v="278"/>
    <s v="0321"/>
    <x v="2"/>
    <d v="2022-05-25T00:00:00"/>
    <x v="5"/>
    <s v="GAA0674"/>
    <s v="FR-300-GAA-0156-2022"/>
    <s v="300-CMA-1974-2020"/>
    <s v="Suministro de materiales de ferreteria asociados con la ejecución de acometidas de acueducto afines para EMCALI EICE ESP"/>
    <n v="50555428"/>
    <s v="90 DIAS"/>
    <s v="N/A"/>
    <m/>
    <s v="202203516_x000a_202203518"/>
    <n v="60160959"/>
    <s v="N/A"/>
    <s v="N/A"/>
    <s v="N/A"/>
    <x v="1"/>
    <s v="LUCY ARBELAEZ"/>
    <d v="2022-05-25T00:00:00"/>
    <n v="-44706"/>
    <n v="-44706"/>
    <s v="SI"/>
    <s v="Entregado al area"/>
    <x v="1"/>
    <s v="9 de junio en invitacion a ofertar"/>
    <m/>
    <d v="2022-07-01T00:00:00"/>
    <x v="10"/>
    <m/>
    <n v="37"/>
    <n v="37"/>
    <x v="0"/>
    <s v="FUNCIONAMIENTO"/>
    <x v="177"/>
    <d v="2022-06-28T00:00:00"/>
    <n v="37377608"/>
    <s v="ALMACEN RODAFER RF SAS_x000a_EQUIPOS Y HERRAMIENTAS INDUSTRIALES SAS"/>
    <n v="202205862"/>
    <n v="13177820"/>
    <m/>
    <m/>
    <m/>
    <m/>
    <m/>
    <s v="CALI"/>
    <s v="LOCAL"/>
    <s v="UNIDAD DE SOPORTE OPERATIVO"/>
    <n v="0.26066083349150954"/>
    <x v="0"/>
    <n v="0"/>
    <n v="37"/>
  </r>
  <r>
    <n v="279"/>
    <s v="0322"/>
    <x v="0"/>
    <d v="2022-05-25T00:00:00"/>
    <x v="5"/>
    <s v="GT0130"/>
    <s v="FR-400-GT-0161-2022"/>
    <s v="500-CMA-1743-2021"/>
    <s v="Suministro de Cables BCH y alambres de cobre para el mantenimiento e instalación de las redes de Acceso de los servicios de telecomunicaciones"/>
    <n v="1074294722"/>
    <m/>
    <s v="N/A"/>
    <m/>
    <s v="202202435_x000a_202202484"/>
    <m/>
    <s v="N/A"/>
    <s v="N/A"/>
    <s v="N/A"/>
    <x v="1"/>
    <s v="FRANCIA RAMÍREZ"/>
    <d v="2022-05-25T00:00:00"/>
    <m/>
    <m/>
    <s v="SI"/>
    <s v="Entregado al area"/>
    <x v="1"/>
    <s v="9 de junio en aceptacion de la oferta._x000a_30 de junio en solicitud de polizas"/>
    <m/>
    <d v="2022-07-27T00:00:00"/>
    <x v="10"/>
    <m/>
    <n v="63"/>
    <n v="63"/>
    <x v="0"/>
    <s v="FUNCIONAMIENTO"/>
    <x v="178"/>
    <d v="2022-06-15T00:00:00"/>
    <n v="1074216927"/>
    <s v="CENTELSA SA"/>
    <n v="202205804"/>
    <n v="77795"/>
    <m/>
    <m/>
    <m/>
    <m/>
    <m/>
    <s v="YUMBO"/>
    <s v="MUNICIPAL"/>
    <s v="UNIDAD DE MANTTO RED FISICA"/>
    <n v="7.2414951322827034E-5"/>
    <x v="0"/>
    <n v="0"/>
    <n v="63"/>
  </r>
  <r>
    <n v="280"/>
    <s v="0323"/>
    <x v="2"/>
    <d v="2022-05-25T00:00:00"/>
    <x v="5"/>
    <s v="GAA0713"/>
    <s v="FR-300-GAA-0158-2022"/>
    <s v="300-CMA-1892-2022"/>
    <s v="Suministro de Alcalinizante para las Plantas de Tratamiento de Agua Potable de la Unidad de Producción de Agua Potable: Cal Viva."/>
    <n v="104890000"/>
    <s v="45 dias"/>
    <s v="N/A"/>
    <m/>
    <n v="202202688"/>
    <n v="384916406"/>
    <s v="N/A"/>
    <s v="N/A"/>
    <s v="N/A"/>
    <x v="1"/>
    <s v="LUCY ARBELAEZ"/>
    <d v="2022-05-25T00:00:00"/>
    <d v="2022-05-25T00:00:00"/>
    <m/>
    <s v="SI"/>
    <s v="Entregado al area"/>
    <x v="1"/>
    <s v="9 de junio en aceptacion de la oferta_x000a_30 de junio en aprobacion_x000a_11 DE JULIO ENTREGADO AL AREA"/>
    <m/>
    <d v="2022-07-11T00:00:00"/>
    <x v="10"/>
    <m/>
    <n v="47"/>
    <n v="47"/>
    <x v="0"/>
    <s v="FUNCIONAMIENTO"/>
    <x v="179"/>
    <d v="2022-06-09T00:00:00"/>
    <n v="99620000"/>
    <s v="CALES DE COLOMBIA SA"/>
    <n v="202205755"/>
    <n v="5270000"/>
    <m/>
    <m/>
    <m/>
    <m/>
    <m/>
    <s v="MEDELLIN"/>
    <s v="NACIONAL"/>
    <s v="UNIDAD DE PRODUCCIÓN DE AGUA POTABLE"/>
    <n v="5.0243111831442464E-2"/>
    <x v="0"/>
    <n v="0"/>
    <n v="47"/>
  </r>
  <r>
    <n v="281"/>
    <s v="0324"/>
    <x v="1"/>
    <d v="2022-05-25T00:00:00"/>
    <x v="5"/>
    <s v="GE0325"/>
    <s v="FR-500-GE-0205-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para la conducción de energía. GRUPO 2: Suministro de cables BCH y alambres de cobre para el mantenimiento e instalación de las redes de acceso de los servicios de telecomunicaciones"/>
    <n v="2767556225"/>
    <m/>
    <s v="N/A"/>
    <m/>
    <n v="202203966"/>
    <m/>
    <s v="N/A"/>
    <s v="N/A"/>
    <s v="N/A"/>
    <x v="1"/>
    <s v="FRANCIA RAMÍREZ"/>
    <d v="2022-05-25T00:00:00"/>
    <m/>
    <m/>
    <s v="SI"/>
    <s v="Entregado al area"/>
    <x v="1"/>
    <s v="9 de junio en aceptacion de la oferta._x000a_30 de junio en solicitud de polizas_x000a_27 DE JULIO ENTREGADO AL AREA"/>
    <m/>
    <d v="2022-07-27T00:00:00"/>
    <x v="10"/>
    <m/>
    <n v="63"/>
    <n v="63"/>
    <x v="0"/>
    <s v="INVERSION"/>
    <x v="178"/>
    <d v="2022-06-15T00:00:00"/>
    <n v="2675952405"/>
    <s v="CENTELSA SA"/>
    <n v="202205804"/>
    <n v="91603820"/>
    <m/>
    <m/>
    <m/>
    <m/>
    <m/>
    <s v="YUMBO"/>
    <s v="MUNICIPAL"/>
    <s v="SUBGERENCIA TECNICA GUENE"/>
    <n v="3.3099172176709796E-2"/>
    <x v="0"/>
    <n v="0"/>
    <n v="63"/>
  </r>
  <r>
    <n v="282"/>
    <s v="0325"/>
    <x v="2"/>
    <d v="2022-05-25T00:00:00"/>
    <x v="5"/>
    <s v="GAA0705"/>
    <s v="FR-300-GAA-0152-2022"/>
    <s v="N/A"/>
    <s v="Adelantar las actividades operativo-comerciales asociadas con la ejecución de acometidas de acueducto de acuerdo con lo que EMCALI establezca ya sea para la atención integral de la acometida o las actividades relacionadas con las obras civiles previas y/o posteriores a la instalación propiamente de la acometida."/>
    <n v="15311303222"/>
    <m/>
    <s v="900-IPU-0325-2022"/>
    <s v="IPU"/>
    <n v="202202596"/>
    <m/>
    <s v="108-202200005"/>
    <m/>
    <s v="Mayor cuantia"/>
    <x v="0"/>
    <s v="HAROLD MONDRAGON"/>
    <d v="2022-05-26T00:00:00"/>
    <e v="#VALUE!"/>
    <e v="#VALUE!"/>
    <s v="NO"/>
    <s v="Devuelto"/>
    <x v="2"/>
    <d v="2022-11-18T00:00:00"/>
    <s v="9 de junio esperando info del area_x000a_17 DE JUNIO ESPERANDO INFO DEL AREA_x000a_18 DE JULIO ESPERANDO INFORMACION DEL AREA_x000a_1 DE AGOSTO ESPERANDO INFORMACION DEL AREA_x000a_28 DE SEPTIEMBRE EN REVISION JURIDICA_x000a_18-11-2022,se devuelve al area para revision de ppto y evaliuar si se realiza con personal de EMCALI"/>
    <d v="2022-11-18T00:00:00"/>
    <x v="5"/>
    <s v="nov"/>
    <n v="177"/>
    <n v="176"/>
    <x v="3"/>
    <s v="FUNCIONAMIENTO"/>
    <x v="0"/>
    <m/>
    <m/>
    <m/>
    <m/>
    <m/>
    <m/>
    <m/>
    <m/>
    <m/>
    <m/>
    <m/>
    <m/>
    <m/>
    <m/>
    <x v="0"/>
    <m/>
    <m/>
  </r>
  <r>
    <n v="283"/>
    <s v="0326"/>
    <x v="5"/>
    <d v="2022-05-26T00:00:00"/>
    <x v="5"/>
    <s v="GHA0226"/>
    <s v="FR-800-GHA-0160-2022"/>
    <s v="N/A"/>
    <s v="Realizar la compra de cuatro (4) camiones con carrocería tipo grúa canasta aislada con altura del piso hasta la base de la cesta 12mts, con las adecuaciones requeridas por EMCALI EICE ESP."/>
    <n v="5150078869"/>
    <s v="30 DE NOVIEMBRE 2023"/>
    <s v="900-IPU-0326-2022"/>
    <m/>
    <n v="202202744"/>
    <n v="2192959537"/>
    <s v="108-202200007"/>
    <s v="N/A"/>
    <s v="Mayor cuantia"/>
    <x v="0"/>
    <s v="LEIDY FRANCO"/>
    <d v="2022-05-31T00:00:00"/>
    <e v="#VALUE!"/>
    <e v="#VALUE!"/>
    <s v="SI"/>
    <s v="Entregado al area"/>
    <x v="1"/>
    <s v="8 DE JUNIO EN ELABORACION DE LA CC_x000a_17 DE JUNIO PARA REVISION DE LA CC_x000a_30 de junio esperando la informacion del area en la modificaciones de las especificaciones tecnicas_x000a_3 DE AGOSTO EN EXPEDICION DE LAS POLIZAS DE SERIEDAD DE LA OFERTA PARA PRESENTAR OFERTA_x000a_10 de agosto en evalucion_x000a_31 de agosto en solicitud de polizas al proveedor"/>
    <m/>
    <d v="2022-09-02T00:00:00"/>
    <x v="11"/>
    <m/>
    <n v="99"/>
    <n v="94"/>
    <x v="6"/>
    <s v="FUNCIONAMIENTO"/>
    <x v="180"/>
    <d v="2022-08-26T00:00:00"/>
    <n v="5148800000"/>
    <s v="ACCESORIOS Y SISTEMAS SA EN REORGANIZACION"/>
    <n v="202208281"/>
    <n v="1278869"/>
    <m/>
    <m/>
    <m/>
    <m/>
    <m/>
    <s v="CALI"/>
    <s v="LOCAL"/>
    <s v="UNIDAD GESTIÓN ADMINISTRATIVA"/>
    <n v="2.483202748016013E-4"/>
    <x v="1"/>
    <n v="2"/>
    <n v="99"/>
  </r>
  <r>
    <n v="284"/>
    <s v="0327"/>
    <x v="1"/>
    <d v="2022-05-26T00:00:00"/>
    <x v="5"/>
    <s v="GE0222_x000a_GE0229_x000a_GE0321_x000a_GE0322_x000a_GE0326"/>
    <s v="FR-500-GE-0199-2022"/>
    <s v="N/A"/>
    <s v="Suministro de materiales y elementos de protección eléctrica para ser instalados en redes y subestaciones de energía"/>
    <n v="503000000"/>
    <m/>
    <s v="900-IPU-0327-2022"/>
    <s v="IPU"/>
    <n v="202203887"/>
    <m/>
    <s v="N/A"/>
    <s v="N/A"/>
    <s v="Mayor cuantia"/>
    <x v="0"/>
    <s v="JULIETA ORTIZ"/>
    <d v="2022-05-31T00:00:00"/>
    <e v="#VALUE!"/>
    <e v="#VALUE!"/>
    <s v="NO"/>
    <s v="Devuelto"/>
    <x v="2"/>
    <m/>
    <s v="8 Junio se devuelve al area para sacarlo como ip pero el area va hacer varias modificaciones."/>
    <d v="2022-06-08T00:00:00"/>
    <x v="5"/>
    <s v="jun"/>
    <n v="13"/>
    <n v="8"/>
    <x v="3"/>
    <s v="INVERSION"/>
    <x v="0"/>
    <m/>
    <m/>
    <m/>
    <m/>
    <m/>
    <m/>
    <m/>
    <m/>
    <m/>
    <m/>
    <m/>
    <m/>
    <m/>
    <m/>
    <x v="0"/>
    <m/>
    <m/>
  </r>
  <r>
    <n v="285"/>
    <s v="0328"/>
    <x v="5"/>
    <d v="2022-05-27T00:00:00"/>
    <x v="5"/>
    <s v="GHA0071"/>
    <s v="FR-800-GHA-0158-2022"/>
    <s v="300-CMA-1974-2020"/>
    <s v="Suministro de elementos de ferretería, para el suministro de materiales, herramientas y elementosa fines para EMCALI EICE ESP."/>
    <n v="8546201"/>
    <m/>
    <s v="N/A"/>
    <m/>
    <n v="202203880"/>
    <n v="102000566"/>
    <s v="N/A"/>
    <s v="N/A"/>
    <s v="N/A"/>
    <x v="1"/>
    <s v="LUCY ARBELAEZ"/>
    <d v="2022-05-31T00:00:00"/>
    <n v="-44708"/>
    <n v="-44712"/>
    <s v="SI"/>
    <s v="Entregado al area"/>
    <x v="1"/>
    <s v="9 de junio en revision del expediente_x000a_18 de julio en rp"/>
    <m/>
    <d v="2022-07-19T00:00:00"/>
    <x v="10"/>
    <m/>
    <n v="53"/>
    <n v="49"/>
    <x v="0"/>
    <s v="FUNCIONAMIENTO"/>
    <x v="181"/>
    <d v="2022-07-15T00:00:00"/>
    <n v="8546201"/>
    <s v="EQUIPOS Y HERRAMIENTAS INDUSTRIALES SAS "/>
    <m/>
    <n v="0"/>
    <m/>
    <m/>
    <m/>
    <m/>
    <m/>
    <m/>
    <m/>
    <s v="UNIDAD DE GESTIÓN ADMINISTRATIVA"/>
    <n v="0"/>
    <x v="1"/>
    <n v="0"/>
    <n v="53"/>
  </r>
  <r>
    <n v="286"/>
    <s v="0329"/>
    <x v="3"/>
    <d v="2022-05-31T00:00:00"/>
    <x v="5"/>
    <s v="GT0131"/>
    <s v="FR-400-GT-0158-2022"/>
    <s v="N/A"/>
    <s v="Suministro y capacitación de EQUIPOS DE COMUNICACIONES Y software de Gestión de Redes Inalambricas Site Survey, para apoyar y soportar las isntalaciones de soluciones de Gobierno, Corporativas y/o empresariales y eventos"/>
    <n v="1000000000"/>
    <m/>
    <s v="900-IPU-0329-2022"/>
    <s v="IPU"/>
    <n v="202203593"/>
    <m/>
    <s v="N/A"/>
    <s v="N/A"/>
    <s v="Mayor cuantia"/>
    <x v="0"/>
    <s v="JULIETA ORTIZ"/>
    <d v="2022-05-31T00:00:00"/>
    <e v="#VALUE!"/>
    <e v="#VALUE!"/>
    <s v="NO"/>
    <s v="Cerrado"/>
    <x v="0"/>
    <m/>
    <s v="15 de junio en solicitud de conceptos_x000a_28 de mayo publicado _x000a_CERRADO POR PROVEEDOR INDAMISIBLE PENDIENTE ACTA DE CIERRE Y SE VA POR IP"/>
    <d v="2022-07-19T00:00:00"/>
    <x v="5"/>
    <s v="jul"/>
    <n v="49"/>
    <n v="49"/>
    <x v="2"/>
    <s v="INVERSION"/>
    <x v="0"/>
    <m/>
    <m/>
    <m/>
    <m/>
    <m/>
    <m/>
    <m/>
    <m/>
    <m/>
    <m/>
    <m/>
    <m/>
    <m/>
    <m/>
    <x v="1"/>
    <m/>
    <m/>
  </r>
  <r>
    <n v="287"/>
    <s v="0330"/>
    <x v="5"/>
    <d v="2022-05-31T00:00:00"/>
    <x v="5"/>
    <s v="GHA0231_x000a_GHA0232"/>
    <s v="FR-800-GHA-0152-2022"/>
    <s v="800-CMA-1914-2021"/>
    <s v="Contrato Marco para realizar los Mantenimientos Locativos, en la Gerencia de Unidad Estrategica de Negocio de Acueducto y Alcantarillado, que surjan de imprevisto"/>
    <n v="50000000"/>
    <s v="112 DIAS"/>
    <s v="N/A"/>
    <m/>
    <n v="202203027"/>
    <n v="136514969"/>
    <s v="N/A"/>
    <s v="N/A"/>
    <s v="N/A"/>
    <x v="1"/>
    <s v="FRANCIA RAMÍREZ"/>
    <d v="2022-05-31T00:00:00"/>
    <e v="#VALUE!"/>
    <e v="#VALUE!"/>
    <s v="SI"/>
    <s v="Entregado al area"/>
    <x v="1"/>
    <s v="el area debe hacer la justificacion para hacer el otro si"/>
    <m/>
    <d v="2022-09-20T00:00:00"/>
    <x v="11"/>
    <m/>
    <n v="112"/>
    <n v="112"/>
    <x v="0"/>
    <s v="FUNCIONAMIENTO"/>
    <x v="182"/>
    <d v="2022-09-09T00:00:00"/>
    <n v="50000000"/>
    <s v="Unión Temporal M&amp;C2021"/>
    <n v="20228346"/>
    <n v="0"/>
    <m/>
    <m/>
    <m/>
    <m/>
    <m/>
    <s v="CALI"/>
    <s v="LOCAL"/>
    <s v="UNIDAD GESTIÓN ADMINISTRATIVA"/>
    <n v="0"/>
    <x v="1"/>
    <n v="0"/>
    <n v="112"/>
  </r>
  <r>
    <n v="288"/>
    <s v="0331"/>
    <x v="2"/>
    <d v="2022-06-03T00:00:00"/>
    <x v="6"/>
    <s v="GAA0708"/>
    <s v="FR-300-GAA-0258-2022"/>
    <s v="N/A"/>
    <s v="Rehabilitar los componentes priorizados de las estructuras de Captación y Pretratamiento de la PTAP Río Cali."/>
    <n v="936000000"/>
    <s v="365 DIAS"/>
    <s v="900-IP-0331-2022"/>
    <m/>
    <n v="202205556"/>
    <n v="234000000"/>
    <s v="108-202100108"/>
    <m/>
    <s v="Mayor cuantia"/>
    <x v="2"/>
    <s v="PAOLA BELTRAN"/>
    <d v="2022-06-05T00:00:00"/>
    <e v="#VALUE!"/>
    <e v="#VALUE!"/>
    <s v="SI"/>
    <s v="Entregado al area"/>
    <x v="1"/>
    <s v="1 DE AGOSTO EN ELABORACION DE FPA E INVITACION 4 DE AGOSTO RECEPCION DE OFERTAS. 5 DE AGOSTO EN COTIZACIONES_x000a_31 de agosto en espera de informacion del jefe porque la vf que envio el area estaba anulada."/>
    <m/>
    <d v="2022-09-13T00:00:00"/>
    <x v="11"/>
    <m/>
    <n v="102"/>
    <n v="100"/>
    <x v="5"/>
    <s v="INVERSION"/>
    <x v="183"/>
    <d v="2022-08-23T00:00:00"/>
    <n v="933414559"/>
    <s v="DIEGO MAURICIO ESTRADA CHAVEZ"/>
    <m/>
    <n v="2585441"/>
    <m/>
    <m/>
    <m/>
    <m/>
    <m/>
    <m/>
    <m/>
    <s v="PRODUCCIÓN DE AGUA POTABLE"/>
    <n v="2.7622232905982905E-3"/>
    <x v="0"/>
    <n v="1"/>
    <n v="54"/>
  </r>
  <r>
    <n v="289"/>
    <s v="0332"/>
    <x v="1"/>
    <d v="2022-06-06T00:00:00"/>
    <x v="6"/>
    <s v="GE0333"/>
    <s v="FR-500-GE-0210-2022"/>
    <s v="N/A"/>
    <s v="Suministro de materiales y elementos de protección eléctrica para ser instalados en redes y subestaciones de energía"/>
    <n v="620390555"/>
    <m/>
    <s v="900-IP-0332-2022"/>
    <m/>
    <n v="202204349"/>
    <m/>
    <s v="N/A"/>
    <s v="N/A"/>
    <s v="Mayor cuantia"/>
    <x v="2"/>
    <s v="PAOLA BELTRAN"/>
    <d v="2022-06-06T00:00:00"/>
    <n v="100"/>
    <n v="100"/>
    <m/>
    <s v="Entregado al area"/>
    <x v="1"/>
    <s v="contrato de emergencia"/>
    <m/>
    <d v="2022-06-07T00:00:00"/>
    <x v="1"/>
    <m/>
    <n v="-44718"/>
    <n v="-44718"/>
    <x v="0"/>
    <s v="INVERSION"/>
    <x v="184"/>
    <m/>
    <n v="620389554"/>
    <s v=" SUMINISTROS Y SERVICIOS TECNICOS S.A.S - S&amp;ST S.A.S"/>
    <m/>
    <n v="1001"/>
    <m/>
    <m/>
    <m/>
    <m/>
    <m/>
    <m/>
    <m/>
    <s v="UNIDAD DE MANTENIMIENTO"/>
    <n v="1.6134997413040887E-6"/>
    <x v="0"/>
    <n v="1"/>
    <n v="1"/>
  </r>
  <r>
    <n v="290"/>
    <s v="0333"/>
    <x v="1"/>
    <d v="2022-06-06T00:00:00"/>
    <x v="6"/>
    <s v="GE0332"/>
    <s v="FR-500-GE-0209-2022"/>
    <s v="N/A"/>
    <s v="Suministro de Cables, para redes de Media y Baja Tensión del SDL de EMCALI."/>
    <n v="541251633"/>
    <m/>
    <s v="900-IP-0333-2022"/>
    <m/>
    <n v="202204348"/>
    <m/>
    <s v="N/A"/>
    <s v="N/A"/>
    <s v="Mayor cuantia"/>
    <x v="2"/>
    <s v="PAOLA BELTRAN"/>
    <d v="2022-06-06T00:00:00"/>
    <n v="-44718"/>
    <n v="-44718"/>
    <s v="SI"/>
    <s v="Entregado al area"/>
    <x v="1"/>
    <m/>
    <m/>
    <d v="2022-06-10T00:00:00"/>
    <x v="10"/>
    <m/>
    <n v="4"/>
    <n v="4"/>
    <x v="0"/>
    <s v="INVERSION"/>
    <x v="185"/>
    <m/>
    <n v="541251633"/>
    <s v="CENTELSA S.A."/>
    <m/>
    <n v="0"/>
    <m/>
    <m/>
    <m/>
    <m/>
    <m/>
    <m/>
    <m/>
    <s v="UNIDAD DE MANTENIMIENTO"/>
    <n v="0"/>
    <x v="0"/>
    <n v="1"/>
    <n v="4"/>
  </r>
  <r>
    <n v="291"/>
    <s v="0334"/>
    <x v="1"/>
    <d v="2022-06-06T00:00:00"/>
    <x v="6"/>
    <s v="GE0331"/>
    <s v="FR-500-GE-0206-2022"/>
    <s v="500-CMA-1743-2021"/>
    <s v="Suministro de Cables y/o Alambres para la conducción de energía y prestación de servicios de telecomunicaciones, de acuerdo con las condiciones,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858588359"/>
    <s v="28 DE NOVIEMBRE"/>
    <s v="N/A"/>
    <m/>
    <n v="202204240"/>
    <n v="858588359"/>
    <s v="N/A"/>
    <s v="N/A"/>
    <s v="N/A"/>
    <x v="1"/>
    <s v="FRANCIA RAMÍREZ"/>
    <d v="2022-06-06T00:00:00"/>
    <n v="-44718"/>
    <n v="-44718"/>
    <s v="SI"/>
    <s v="Entregado al area"/>
    <x v="1"/>
    <s v="30 de junio en solicitud de polizas"/>
    <m/>
    <d v="2022-07-27T00:00:00"/>
    <x v="10"/>
    <m/>
    <n v="51"/>
    <n v="51"/>
    <x v="0"/>
    <s v="FUNCIONAMIENTO"/>
    <x v="186"/>
    <d v="2022-06-24T00:00:00"/>
    <n v="847397095"/>
    <s v="CENTELSA SA"/>
    <m/>
    <n v="11191264"/>
    <m/>
    <m/>
    <m/>
    <m/>
    <m/>
    <s v="YUMBO"/>
    <s v="MUNICIPAL"/>
    <s v="UNIDAD DE CONTROL DE ENERGÍA"/>
    <n v="1.3034493052100651E-2"/>
    <x v="0"/>
    <n v="0"/>
    <n v="51"/>
  </r>
  <r>
    <n v="292"/>
    <s v="0335"/>
    <x v="6"/>
    <d v="2022-06-08T00:00:00"/>
    <x v="6"/>
    <s v="GTI0184"/>
    <s v="FR-200-GTI-0096-2022"/>
    <s v="N/A"/>
    <s v="Contratar el servicio de soporte actualización y mantenimiento del Software SAP"/>
    <n v="1240383280"/>
    <m/>
    <m/>
    <s v=""/>
    <s v="202203525_x000a_202202915"/>
    <m/>
    <s v="N/A"/>
    <s v="N/A"/>
    <s v="Mayor cuantia"/>
    <x v="3"/>
    <s v="PABLO CAICEDO"/>
    <d v="2022-06-09T00:00:00"/>
    <e v="#VALUE!"/>
    <e v="#VALUE!"/>
    <s v="NO"/>
    <s v="Devuelto"/>
    <x v="2"/>
    <m/>
    <m/>
    <d v="2022-06-21T00:00:00"/>
    <x v="5"/>
    <s v="jun"/>
    <n v="13"/>
    <n v="12"/>
    <x v="3"/>
    <s v="FUNCIONAMIENTO"/>
    <x v="0"/>
    <m/>
    <m/>
    <m/>
    <m/>
    <m/>
    <m/>
    <m/>
    <m/>
    <m/>
    <m/>
    <m/>
    <m/>
    <m/>
    <m/>
    <x v="1"/>
    <m/>
    <m/>
  </r>
  <r>
    <n v="293"/>
    <s v="0336"/>
    <x v="1"/>
    <d v="2022-06-21T00:00:00"/>
    <x v="6"/>
    <s v="GE0361"/>
    <s v="FR-500-GE-0200-2022"/>
    <s v="N/A"/>
    <s v="Suministro de Equipo Cabrestante Portacarrete Portatil Motorizado"/>
    <n v="269000000"/>
    <m/>
    <s v="900-IP-0336-2022"/>
    <s v="IP-"/>
    <n v="202203909"/>
    <m/>
    <s v="N/A"/>
    <s v="N/A"/>
    <s v="Menor cuantia"/>
    <x v="2"/>
    <s v="JULIETA ORTIZ"/>
    <d v="2022-06-21T00:00:00"/>
    <e v="#VALUE!"/>
    <e v="#VALUE!"/>
    <s v="NO"/>
    <s v="Cerrado"/>
    <x v="0"/>
    <m/>
    <s v="30 de junio en evaluacion_x000a_14 de julio en revision por la jefe sandra_x000a_29 DE JULIO CERRADO Y SE ABRIO NUEVAMENTE CON LA IP 474"/>
    <d v="2022-07-29T00:00:00"/>
    <x v="5"/>
    <s v="jul"/>
    <n v="38"/>
    <n v="38"/>
    <x v="2"/>
    <s v="INVERSION"/>
    <x v="0"/>
    <m/>
    <m/>
    <m/>
    <m/>
    <m/>
    <m/>
    <m/>
    <m/>
    <m/>
    <m/>
    <m/>
    <m/>
    <m/>
    <m/>
    <x v="0"/>
    <m/>
    <m/>
  </r>
  <r>
    <n v="294"/>
    <s v="0337"/>
    <x v="1"/>
    <d v="2022-06-09T00:00:00"/>
    <x v="6"/>
    <s v="GE0252"/>
    <s v="FR-500-GE-0207-2022"/>
    <s v="N/A"/>
    <s v="Suministro de ANTENAS YAGI"/>
    <n v="56044002"/>
    <s v="28 DE NOVIEMBRE"/>
    <s v="900-IP-337-2022"/>
    <m/>
    <n v="202204346"/>
    <n v="56044002"/>
    <s v="N/A"/>
    <s v="N/A"/>
    <s v="Menor cuantia"/>
    <x v="2"/>
    <s v="IVAN ALDANA"/>
    <d v="2022-06-09T00:00:00"/>
    <n v="-44721"/>
    <n v="-44721"/>
    <s v="SI"/>
    <s v="Entregado al area"/>
    <x v="1"/>
    <s v="30 de junio en revision de fpa e invitacion_x000a_18 de julio para firma de la aceptacion de la oferta"/>
    <m/>
    <d v="2022-07-30T00:00:00"/>
    <x v="10"/>
    <m/>
    <n v="51"/>
    <n v="51"/>
    <x v="0"/>
    <s v="INVERSION"/>
    <x v="187"/>
    <d v="2022-07-19T00:00:00"/>
    <n v="56044002"/>
    <s v="POTENCIA Y TECNOLOGIA  INCORPORADA SA"/>
    <m/>
    <n v="0"/>
    <m/>
    <m/>
    <m/>
    <m/>
    <m/>
    <s v="CALI"/>
    <s v="LOCAL"/>
    <s v="UNIDAD DE CONTROL DE ENERGÍA"/>
    <n v="0"/>
    <x v="0"/>
    <n v="1"/>
    <n v="36"/>
  </r>
  <r>
    <n v="295"/>
    <s v="0338"/>
    <x v="2"/>
    <d v="2022-06-10T00:00:00"/>
    <x v="6"/>
    <s v="PENDIENTE"/>
    <s v="FR-300-GAA-0066-2022"/>
    <s v="N/A"/>
    <s v="Suministro, montaje y puesta en marcha de tanques de almacenamiento de ACPM para los equipos electrógenos de las estaciones de bombeo de aguas residuales y lluvias"/>
    <n v="109994080"/>
    <s v="150 dias"/>
    <s v="900-IP-0338-2022"/>
    <m/>
    <n v="202201829"/>
    <n v="110000000"/>
    <s v="N/A"/>
    <s v="N/A"/>
    <s v="Menor cuantia"/>
    <x v="2"/>
    <s v="ADALBERTO VALENCIA"/>
    <d v="2022-06-10T00:00:00"/>
    <n v="-44722"/>
    <n v="-44722"/>
    <s v="SI"/>
    <s v="Entregado al area"/>
    <x v="1"/>
    <s v="17 de junio en solciitud de conceptos_x000a_30 DE JUNIO EN REVISION DE LA INVITACION POR DIANA DE LA CRUZ_x000a_19 de julio en aprobacion de polizas"/>
    <m/>
    <d v="2022-07-26T00:00:00"/>
    <x v="10"/>
    <m/>
    <n v="46"/>
    <n v="46"/>
    <x v="2"/>
    <m/>
    <x v="188"/>
    <d v="2022-07-08T00:00:00"/>
    <n v="109994080"/>
    <s v="SOLCO INDUSTRIAL SAS"/>
    <m/>
    <n v="0"/>
    <m/>
    <m/>
    <m/>
    <m/>
    <m/>
    <m/>
    <m/>
    <s v="UNIDAD DE BOMBEO"/>
    <n v="0"/>
    <x v="0"/>
    <n v="1"/>
    <n v="23"/>
  </r>
  <r>
    <n v="296"/>
    <s v="0339"/>
    <x v="3"/>
    <d v="2022-06-10T00:00:00"/>
    <x v="6"/>
    <s v="GT0138_x000a_GT0201"/>
    <s v="FR-400-GT-0156-2022"/>
    <s v="N/A"/>
    <s v="Dotación de componentes especializados para el mantenimiento de redes de acceso en fibra óptica, para el personal de la GUENTIC"/>
    <n v="241804143"/>
    <m/>
    <s v="900-IP-0339-2022"/>
    <s v="IP-"/>
    <s v="202202913_x000a_202202886"/>
    <m/>
    <s v="N/A"/>
    <s v="N/A"/>
    <s v="Menor cuantia"/>
    <x v="2"/>
    <s v="JULIETA ORTIZ"/>
    <d v="2022-06-30T00:00:00"/>
    <e v="#VALUE!"/>
    <e v="#VALUE!"/>
    <s v="NO"/>
    <s v="Devuelto"/>
    <x v="2"/>
    <m/>
    <s v="SE DEVOLVIO AL AREA PORQUE NO ALCANZABA EL PRESUPUESTO POR EL ALZA DEL DÓLAR"/>
    <d v="2022-07-18T00:00:00"/>
    <x v="5"/>
    <s v="jul"/>
    <n v="38"/>
    <n v="18"/>
    <x v="3"/>
    <s v="FUNCIONAMIENTO"/>
    <x v="0"/>
    <m/>
    <m/>
    <m/>
    <m/>
    <m/>
    <m/>
    <m/>
    <m/>
    <m/>
    <m/>
    <m/>
    <m/>
    <m/>
    <m/>
    <x v="1"/>
    <m/>
    <m/>
  </r>
  <r>
    <n v="297"/>
    <s v="0340"/>
    <x v="0"/>
    <d v="2022-06-10T00:00:00"/>
    <x v="6"/>
    <s v="GT0172"/>
    <s v="FR-400-GT-0163-2022"/>
    <s v="N/A"/>
    <s v="Reparación de Motobombas"/>
    <n v="20650000"/>
    <s v="90 DIAS"/>
    <s v="900-IP-0340-2022"/>
    <m/>
    <n v="202203877"/>
    <n v="20650000"/>
    <s v="N/A"/>
    <s v="N/A"/>
    <s v="Menor cuantia"/>
    <x v="2"/>
    <s v="IVAN ALDANA"/>
    <d v="2022-06-10T00:00:00"/>
    <n v="96"/>
    <n v="96"/>
    <s v="SI"/>
    <s v="Entregado al area"/>
    <x v="1"/>
    <s v="17 de junio en solicitud de conceptos_x000a_30 de junio en invitacion a ofertar_x000a_18 de julio en solicitud de polizas y rp_x000a_2 DE AGOSTO EN APROBACION DE POLIZAS. 5 DE AGOSTO CONTINUA EN APROBACION DE POLIZAS"/>
    <m/>
    <d v="2022-08-10T00:00:00"/>
    <x v="1"/>
    <m/>
    <n v="61"/>
    <n v="61"/>
    <x v="2"/>
    <s v="FUNCIONAMIENTO"/>
    <x v="189"/>
    <d v="2022-07-15T00:00:00"/>
    <n v="20650000"/>
    <s v="METALMECANICA SOS SAS"/>
    <n v="202207214"/>
    <n v="0"/>
    <m/>
    <m/>
    <m/>
    <m/>
    <m/>
    <s v="CALI"/>
    <s v="LOCAL"/>
    <s v="SUBGERENCIA OPERATIVA"/>
    <n v="0"/>
    <x v="0"/>
    <n v="1"/>
    <n v="25"/>
  </r>
  <r>
    <n v="298"/>
    <s v="0341"/>
    <x v="0"/>
    <d v="2022-06-10T00:00:00"/>
    <x v="6"/>
    <s v="GT0174"/>
    <s v="FR-400-GT-0165-2022"/>
    <s v="N/A"/>
    <s v="Reparación de los motores eléctricos de condensadoras y blowers de los equipos de climatización requeridos para el matenimiento preventivo y correctivo de los aires acondicionados de los nodos de la GUENTIC de EMCALI EICE ESP que soportan lo normal operación de los equipos activos de la red TDM Y NGN, garantizando la continuidad del servicio y aportando positivamente a los TMR comprometidos con los clientes"/>
    <n v="17342748"/>
    <s v="28 DE NOVIEMBRE 2022"/>
    <s v="900-IP-0341-2022"/>
    <m/>
    <n v="202203878"/>
    <m/>
    <s v="N/A"/>
    <s v="N/A"/>
    <s v="Menor cuantia"/>
    <x v="2"/>
    <s v="IVAN ALDANA"/>
    <d v="2022-06-10T00:00:00"/>
    <n v="96"/>
    <n v="96"/>
    <s v="SI"/>
    <s v="Entregado al area"/>
    <x v="1"/>
    <s v="17 de junio en solicitud de conceptos_x000a_30 de junio en revision de la fpa e invitacion_x000a_18 de julio para firma de la aceptacion de la oferta_x000a_2 DE AGOSTO EN SOLICTUD DE POLIZAS Y RP. 5 DE POLIZAS SE ENVIO A REGISTRO PRESUPUESTAL. SE TUVO INCONVENIENTES CON EL PROVEEDOR PORQUE ES NATURAL Y QUERIA DESISTIR DEL CONTRATO."/>
    <m/>
    <d v="2022-08-05T00:00:00"/>
    <x v="1"/>
    <m/>
    <n v="56"/>
    <n v="56"/>
    <x v="2"/>
    <s v="INVERSION"/>
    <x v="190"/>
    <d v="2022-07-25T00:00:00"/>
    <n v="17308550"/>
    <s v="YESID SELIS MENESES"/>
    <n v="202207317"/>
    <n v="34198"/>
    <m/>
    <m/>
    <m/>
    <m/>
    <m/>
    <s v="CALI"/>
    <s v="LOCAL"/>
    <s v="SUBGERENCIA OPERATIVA"/>
    <n v="1.9718904985530552E-3"/>
    <x v="0"/>
    <n v="1"/>
    <n v="31"/>
  </r>
  <r>
    <n v="299"/>
    <s v="0342"/>
    <x v="8"/>
    <d v="2022-06-10T00:00:00"/>
    <x v="6"/>
    <s v="GF0071"/>
    <s v="FR-700-GF-0062-2022"/>
    <s v="N/A"/>
    <s v="Adquisición de un (1) HORNO MICROONDAS de uso industrial (trabajo pesado) para la Gerencia Financiera."/>
    <n v="3570000"/>
    <m/>
    <s v="900-IPU-0342-2022"/>
    <s v="IPU"/>
    <n v="202204359"/>
    <m/>
    <s v="N/A"/>
    <s v="N/A"/>
    <s v="Menor cuantia"/>
    <x v="0"/>
    <s v="JHON LARRY "/>
    <d v="2022-06-13T00:00:00"/>
    <e v="#VALUE!"/>
    <e v="#VALUE!"/>
    <s v="NO"/>
    <s v="Devuelto"/>
    <x v="2"/>
    <m/>
    <s v="17 de junio en solicitud de conceptos_x000a_30 de junio en revision de la fpa e invitacion_x000a_2 de agosto este pceos ha tenido muchos reprocesos porque no lo venden en grandes superficies. Se iba a devolcer pero en gerente del area solicito que no lo devolvieramos y se esta esprando el registro de proveedores del proveedor que tiene el objeto. 5 DE AGOSTO  PENDIENTE INVITAR, ESTE PROCESO DEBE SALIR INMEDIATAMENTE."/>
    <d v="2022-10-06T00:00:00"/>
    <x v="5"/>
    <s v="oct"/>
    <n v="118"/>
    <n v="115"/>
    <x v="2"/>
    <s v="INVERSION"/>
    <x v="0"/>
    <m/>
    <m/>
    <m/>
    <m/>
    <n v="3570000"/>
    <m/>
    <m/>
    <m/>
    <m/>
    <m/>
    <m/>
    <m/>
    <m/>
    <m/>
    <x v="1"/>
    <m/>
    <m/>
  </r>
  <r>
    <n v="300"/>
    <s v="0343"/>
    <x v="2"/>
    <d v="2022-06-10T00:00:00"/>
    <x v="6"/>
    <s v="GAA0213"/>
    <s v="FR-300-GAA-0157-2022"/>
    <s v="N/A"/>
    <s v="Reponer válvulas y Actuadores en diferentes sistemas de tratamiento de la PTAP Río Cali"/>
    <n v="1755493200"/>
    <s v="2 meses"/>
    <s v="900-IPU-0343-2022"/>
    <m/>
    <n v="202201760"/>
    <n v="1755493200"/>
    <s v="N/A"/>
    <s v="N/A"/>
    <s v="Mayor cuantia"/>
    <x v="0"/>
    <s v="HAROLD MONDRAGON"/>
    <d v="2022-06-13T00:00:00"/>
    <n v="96"/>
    <n v="93"/>
    <s v="SI"/>
    <s v="Entregado al area"/>
    <x v="1"/>
    <s v="30 DE JUNIO PUBLICADO_x000a_19 DE JULIO SE RECIBEN OFERTAS_x000a_1 DE AGOSTO EN EVALUACION SOBRE 1. 5 DE AGOSTO EN PUBLICACION DEL INFORME DE EVALUACION"/>
    <m/>
    <d v="2022-08-23T00:00:00"/>
    <x v="1"/>
    <m/>
    <n v="74"/>
    <n v="71"/>
    <x v="0"/>
    <s v="INVERSION"/>
    <x v="191"/>
    <d v="2022-08-12T00:00:00"/>
    <n v="1732109718"/>
    <s v="UNION TEMPORAL VALAC 2022"/>
    <n v="202207854"/>
    <n v="23383482"/>
    <m/>
    <m/>
    <m/>
    <m/>
    <m/>
    <s v="CALI"/>
    <s v="LOCAL"/>
    <s v="UNIDAD DE PRODUCCIÓN"/>
    <n v="1.3320178055944621E-2"/>
    <x v="0"/>
    <n v="2"/>
    <n v="74"/>
  </r>
  <r>
    <n v="301"/>
    <s v="0344"/>
    <x v="2"/>
    <d v="2022-06-13T00:00:00"/>
    <x v="6"/>
    <s v="GAA0781 "/>
    <s v="FR-300-GAA-0076-2022"/>
    <s v="N/A"/>
    <s v="Suministro de equipos y Elementos para la medición de variables para el proceso de tratamiento de la PTAR-C"/>
    <n v="207605670"/>
    <m/>
    <s v="900-IP-0344-2022"/>
    <s v="IP-"/>
    <n v="202202669"/>
    <m/>
    <s v="N/A"/>
    <s v="N/A"/>
    <s v="Menor cuantia"/>
    <x v="2"/>
    <s v="JULIO GARCIA"/>
    <d v="2022-06-13T00:00:00"/>
    <e v="#VALUE!"/>
    <e v="#VALUE!"/>
    <s v="NO"/>
    <s v="Cerrado"/>
    <x v="0"/>
    <m/>
    <s v="17 de junio en solicitud de conceptos_x000a_30 de junio esperando concepto SST del área usuaria_x000a_29 de julio cerrado porque el oferente no cumple"/>
    <d v="2022-07-29T00:00:00"/>
    <x v="5"/>
    <s v="jul"/>
    <n v="46"/>
    <n v="46"/>
    <x v="3"/>
    <s v="FUNCIONAMIENTO"/>
    <x v="0"/>
    <m/>
    <m/>
    <m/>
    <m/>
    <m/>
    <m/>
    <m/>
    <m/>
    <m/>
    <m/>
    <m/>
    <m/>
    <m/>
    <m/>
    <x v="0"/>
    <m/>
    <m/>
  </r>
  <r>
    <n v="302"/>
    <s v="0345"/>
    <x v="2"/>
    <d v="2022-06-13T00:00:00"/>
    <x v="6"/>
    <s v="GAA0715"/>
    <s v="FR-300-GAA-0162-2022"/>
    <s v="N/A"/>
    <s v="Mantenimiento de las Casetas de Protección"/>
    <n v="5580200"/>
    <s v="90 DIAS"/>
    <s v="900-IP-0890-2022"/>
    <m/>
    <n v="202200777"/>
    <m/>
    <s v="N/A"/>
    <s v="N/A"/>
    <s v="Menor cuantia"/>
    <x v="2"/>
    <s v="ANA MARIA GIL"/>
    <d v="2022-06-13T00:00:00"/>
    <n v="93"/>
    <n v="93"/>
    <s v="SI"/>
    <s v="Entregado al area"/>
    <x v="1"/>
    <s v="17 de junio en solicitu de conceptos_x000a_SE CERRO EL PROCESO Y SE ABRE NUEVAMENTE  CON LA FICHA DE REQUERIMIENTO 300-GAA-0124-2022_x000a_2 de agosto en solicitud de polizas 5 de agosto en solicitud de polizas"/>
    <m/>
    <d v="2022-08-25T00:00:00"/>
    <x v="1"/>
    <m/>
    <n v="73"/>
    <n v="73"/>
    <x v="2"/>
    <s v="INVERSION"/>
    <x v="192"/>
    <d v="2022-08-01T00:00:00"/>
    <n v="4046000"/>
    <s v="METALMECANICA SAS"/>
    <n v="202207700"/>
    <n v="1534200"/>
    <m/>
    <m/>
    <m/>
    <m/>
    <m/>
    <s v="CALI"/>
    <s v="LOCAL"/>
    <s v="UENAA U. DISTRIBUCIÓN"/>
    <n v="0.27493638220852301"/>
    <x v="0"/>
    <n v="1"/>
    <n v="47"/>
  </r>
  <r>
    <n v="303"/>
    <s v="0346"/>
    <x v="2"/>
    <d v="2022-06-14T00:00:00"/>
    <x v="6"/>
    <s v="GAA0669"/>
    <s v="FR-300-GAA-0136-2022"/>
    <s v="N/A"/>
    <s v="Suministro e Instalación equipos de Instrumentación y Automatización"/>
    <n v="97403342"/>
    <m/>
    <s v="900-IP-0346-2022"/>
    <s v="IP-"/>
    <n v="202203123"/>
    <m/>
    <s v="N/A"/>
    <s v="N/A"/>
    <s v="Menor cuantia"/>
    <x v="2"/>
    <s v="ANA MARIA GIL"/>
    <d v="2022-06-14T00:00:00"/>
    <e v="#VALUE!"/>
    <e v="#VALUE!"/>
    <s v="NO"/>
    <s v="Cerrado"/>
    <x v="0"/>
    <m/>
    <s v="17 de junio en solicitu de conceptos_x000a_14 de julio e evaluacion, en revision desde el 8 de julio de la evaluacion y la aceptacion de la oferta._x000a_18 de julio esperando evaluacion_x000a_29 DE JULIO ESPERANDO EL CERTIFICADO AL CONTRATISTA_x000a_2 DE AGOSTO EN EVALUACION 4 DE AGOSTO EL PROVEEDOR NO CUMPLE, SE VA A CERRAR"/>
    <d v="2022-08-04T00:00:00"/>
    <x v="5"/>
    <s v="ago"/>
    <n v="51"/>
    <n v="51"/>
    <x v="3"/>
    <s v="INVERSION"/>
    <x v="0"/>
    <m/>
    <m/>
    <m/>
    <m/>
    <m/>
    <m/>
    <m/>
    <m/>
    <m/>
    <m/>
    <m/>
    <m/>
    <m/>
    <m/>
    <x v="0"/>
    <m/>
    <m/>
  </r>
  <r>
    <n v="304"/>
    <s v="0347"/>
    <x v="1"/>
    <d v="2022-06-14T00:00:00"/>
    <x v="6"/>
    <s v="GE0189"/>
    <s v="FR-500-GE-0193-2022"/>
    <s v="N/A"/>
    <s v="Calibración de equipos de Medición"/>
    <n v="21000000"/>
    <s v="60 DIAS"/>
    <s v="900-IP-0347-2022"/>
    <m/>
    <n v="202203515"/>
    <m/>
    <s v="N/A"/>
    <s v="N/A"/>
    <s v="Menor cuantia"/>
    <x v="2"/>
    <s v="ANA MARIA GIL"/>
    <d v="2022-06-14T00:00:00"/>
    <n v="92"/>
    <n v="92"/>
    <s v="SI"/>
    <s v="Entregado al area"/>
    <x v="1"/>
    <s v="17 de junio en solicitud de conceptos_x000a_14 de julio en evalucion de la oferta, se pidieron subsanables._x000a_18 de julio en espera de la revision de la aceptacion de la oferta_x000a_2 DE AGOSTO EN EVALUACION DESPUES DE LA RESPUESTA DEL AREA TECNICA 4 DE AGOSTO EN EVALUACION PARA FIRMAR ACEPTACION"/>
    <m/>
    <d v="2022-08-30T00:00:00"/>
    <x v="1"/>
    <m/>
    <n v="77"/>
    <n v="77"/>
    <x v="2"/>
    <s v="FUNCIONAMIENTO"/>
    <x v="193"/>
    <d v="2022-08-09T00:00:00"/>
    <n v="20075000"/>
    <s v="LABORATORIO ELECTROMECANICO QTEST SAS"/>
    <m/>
    <n v="925000"/>
    <m/>
    <m/>
    <m/>
    <m/>
    <m/>
    <s v="ENVIGADO"/>
    <s v="NACIONAL"/>
    <s v="UNIDAD DE MANTENIMIENTO"/>
    <n v="4.4047619047619051E-2"/>
    <x v="0"/>
    <n v="1"/>
    <n v="38"/>
  </r>
  <r>
    <n v="305"/>
    <s v="0348"/>
    <x v="2"/>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m/>
    <s v="Entregado al area"/>
    <x v="1"/>
    <s v="18 d ejulio esperando concepto de seguros_x000a_2 DE AGOSTO EN ELABORACION DE FPA"/>
    <m/>
    <d v="2022-09-01T00:00:00"/>
    <x v="11"/>
    <m/>
    <n v="50"/>
    <n v="50"/>
    <x v="2"/>
    <s v="OPERACIÓN"/>
    <x v="194"/>
    <d v="2022-08-30T00:00:00"/>
    <n v="26256243"/>
    <s v="PROFINAS SOCIEDAD POR ACCIONES SIMPLIFICADA"/>
    <n v="202208018"/>
    <n v="210"/>
    <m/>
    <m/>
    <m/>
    <m/>
    <m/>
    <s v="YUMBO"/>
    <s v="MUNICIPAL"/>
    <s v="UNIDAD DE PRODUCCIÓN DE AGUA POTABLE"/>
    <n v="7.9980338547632467E-6"/>
    <x v="0"/>
    <n v="1"/>
    <n v="30"/>
  </r>
  <r>
    <n v="306"/>
    <s v="0349"/>
    <x v="2"/>
    <d v="2022-06-21T00:00:00"/>
    <x v="6"/>
    <s v="GAA0639_x000a_GAA0663"/>
    <s v="FR-300-GAA-0102-2022"/>
    <s v="N/A"/>
    <s v="Suministro de equipos CHEMTRAC para plantas de tratamiento de Agua Potable"/>
    <n v="134184400"/>
    <s v="140 dias"/>
    <s v="900-IP-0349-2022"/>
    <m/>
    <n v="202202921"/>
    <n v="134184400"/>
    <s v="N/A"/>
    <s v="N/A"/>
    <s v="Menor cuantia"/>
    <x v="2"/>
    <s v="PAOLA BELTRAN"/>
    <d v="2022-06-21T00:00:00"/>
    <n v="-44733"/>
    <n v="-44733"/>
    <s v="SI"/>
    <s v="Entregado al area"/>
    <x v="1"/>
    <s v="14 de julio en aprobacuon de polizas_x000a_15 de julio entregado al area"/>
    <m/>
    <d v="2022-07-15T00:00:00"/>
    <x v="10"/>
    <m/>
    <n v="24"/>
    <n v="24"/>
    <x v="2"/>
    <s v="INVERSION"/>
    <x v="195"/>
    <d v="2022-07-07T00:00:00"/>
    <n v="134184400"/>
    <s v="B&amp;C BIOSCIENCES SAS"/>
    <n v="202207014"/>
    <n v="0"/>
    <m/>
    <m/>
    <m/>
    <m/>
    <m/>
    <s v="BOGOTA"/>
    <s v="NACIONAL"/>
    <s v="UNIDAD DE MANTENIMIENTO"/>
    <n v="0"/>
    <x v="0"/>
    <n v="1"/>
    <n v="18"/>
  </r>
  <r>
    <n v="307"/>
    <s v="0350"/>
    <x v="7"/>
    <d v="2022-06-21T00:00:00"/>
    <x v="6"/>
    <s v="GG0113"/>
    <s v="FR-100-GG-0092-2022"/>
    <s v="N/A"/>
    <s v="Prestación de servicios para realizar la Auditoría Externa de Gestión y Resultados de los prestadores de servicios públicos domiciliarios de energía eléctrica y gas combustible, conforme lo establece la Resolución 20211000555175 de octubre de 2021"/>
    <n v="165300000"/>
    <s v="28 DE NOVIEMBRE 2022"/>
    <s v="900-IP-0350-2022"/>
    <m/>
    <n v="202203583"/>
    <n v="165300000"/>
    <s v="N/A"/>
    <s v="N/A"/>
    <s v="Menor cuantia"/>
    <x v="2"/>
    <s v="PAOLA BELTRAN"/>
    <d v="2022-06-21T00:00:00"/>
    <e v="#VALUE!"/>
    <e v="#VALUE!"/>
    <s v="SI"/>
    <s v="Entregado al area"/>
    <x v="1"/>
    <s v="14  de julio pendiente revision de la fpa por la jefe sandra_x000a_14 de julio en revision juridica_x000a_1 agosto continua en juridica 4 DE AGOSTO EN INVITACION A OFERTAR"/>
    <m/>
    <d v="2022-09-15T00:00:00"/>
    <x v="11"/>
    <m/>
    <n v="86"/>
    <n v="86"/>
    <x v="7"/>
    <s v="FUNCIONAMIENTO"/>
    <x v="196"/>
    <d v="2022-08-31T00:00:00"/>
    <n v="139144320"/>
    <s v="DELOITTE ASESORES Y CONSULTORES LTDA"/>
    <n v="202208286"/>
    <n v="26155680"/>
    <m/>
    <m/>
    <m/>
    <m/>
    <m/>
    <s v="BOGOTA"/>
    <s v="NACIONAL"/>
    <s v="DIRECCIÓN DE CONTROL INTERNO"/>
    <n v="0.15823157894736842"/>
    <x v="1"/>
    <n v="1"/>
    <n v="34"/>
  </r>
  <r>
    <n v="308"/>
    <s v="0351"/>
    <x v="2"/>
    <d v="2022-06-14T00:00:00"/>
    <x v="6"/>
    <s v=" GAA0775 "/>
    <s v="FR-300-GAA-0124-2022"/>
    <s v="N/A"/>
    <s v="Servicio de transporte, recolección y disposición de arenas, hilazas y biosolidos generados en el tratamiento de las aguas residuales en la PTAR-C"/>
    <n v="299999952"/>
    <m/>
    <s v="900-IP-0351-2022"/>
    <s v="IP-"/>
    <n v="202201857"/>
    <m/>
    <s v="N/A"/>
    <s v="N/A"/>
    <s v="Menor cuantia"/>
    <x v="2"/>
    <s v="ANA MARIA GIL"/>
    <d v="2022-06-15T00:00:00"/>
    <e v="#VALUE!"/>
    <e v="#VALUE!"/>
    <s v="NO"/>
    <s v="Cerrado"/>
    <x v="0"/>
    <m/>
    <s v="17 de junio en solicitud de conceptos_x000a_14 de julio pendiente de las firmas de las jefes_x000a_19 de julio se amplio la recepcion de las ofertas_x000a_2 de agsoto se cerro porque el proveedor se retiro de la oferta"/>
    <d v="2022-06-28T00:00:00"/>
    <x v="5"/>
    <s v="jun"/>
    <n v="14"/>
    <n v="13"/>
    <x v="3"/>
    <s v="FUNCIONAMIENTO"/>
    <x v="0"/>
    <m/>
    <m/>
    <m/>
    <m/>
    <m/>
    <m/>
    <m/>
    <m/>
    <m/>
    <m/>
    <m/>
    <m/>
    <m/>
    <m/>
    <x v="0"/>
    <m/>
    <m/>
  </r>
  <r>
    <n v="309"/>
    <s v="0352"/>
    <x v="0"/>
    <d v="2022-06-15T00:00:00"/>
    <x v="6"/>
    <s v="GT0144"/>
    <s v="FR-400-GT-0174-2022"/>
    <s v="N/A"/>
    <s v="Suministro de elementos electrónicos para el mantenimiento preventivo y correctivo de los equipos activos de las centrales telefónicas de EMCALI EICE ESP."/>
    <n v="39984000"/>
    <s v="28 DE NOVIEMBRE"/>
    <s v="900-IP-0352-2022"/>
    <m/>
    <n v="202202996"/>
    <n v="52255548"/>
    <s v="N/A"/>
    <s v="N/A"/>
    <s v="Menor cuantia"/>
    <x v="2"/>
    <s v="IVAN ALDANA"/>
    <d v="2022-06-15T00:00:00"/>
    <n v="-44727"/>
    <n v="-44727"/>
    <s v="SI"/>
    <s v="Entregado al area"/>
    <x v="1"/>
    <s v="17 de junio en solicitud de conceptos_x000a_30 de junio en revision de la fpa e invitacion_x000a_18 de julio para firma de la aceptacion de la oferta"/>
    <m/>
    <d v="2022-07-29T00:00:00"/>
    <x v="10"/>
    <m/>
    <n v="44"/>
    <n v="44"/>
    <x v="2"/>
    <s v="FUNCIONAMIENTO"/>
    <x v="197"/>
    <d v="2022-07-21T00:00:00"/>
    <n v="37984800"/>
    <s v="EPRING SAS"/>
    <n v="202207215"/>
    <n v="1999200"/>
    <m/>
    <m/>
    <m/>
    <m/>
    <m/>
    <s v="CALI"/>
    <s v="LOCAL"/>
    <s v="SUBGERENCIA OPERATIVA"/>
    <n v="0.05"/>
    <x v="0"/>
    <n v="1"/>
    <n v="23"/>
  </r>
  <r>
    <n v="310"/>
    <s v="0353"/>
    <x v="2"/>
    <d v="2022-06-15T00:00:00"/>
    <x v="6"/>
    <s v="GAA0126"/>
    <s v="FR-300-GAA-0160-2022"/>
    <s v="N/A"/>
    <s v="Adquisición de equipos GNSS y accesorios de topografía para mejorar rendimientos y precisiones en levantamientos topográficos de supervisión de información espacial de redes de acueducto y alcantarillado suministrada por contratistas y para mejorar la calidad posicional del SIG del CCM de la Unidad de Ingeniería de la Gerencia UENAA."/>
    <n v="152050000"/>
    <s v="28 DE NOVIEMBRE 2022"/>
    <s v="900-IP-0353-2022"/>
    <m/>
    <n v="202203562"/>
    <n v="152050000"/>
    <s v="N/A"/>
    <s v="N/A"/>
    <s v="Menor cuantia"/>
    <x v="2"/>
    <s v="ANA MARIA GIL"/>
    <d v="2022-06-16T00:00:00"/>
    <e v="#VALUE!"/>
    <e v="#VALUE!"/>
    <s v="SI"/>
    <s v="Entregado al area"/>
    <x v="1"/>
    <s v="2 DE AGOSTO PENDIENTE DE LA FIRMA DE LAINVITACION A OFERTAR"/>
    <m/>
    <d v="2022-09-08T00:00:00"/>
    <x v="11"/>
    <m/>
    <n v="85"/>
    <n v="84"/>
    <x v="2"/>
    <s v="INVERSION"/>
    <x v="198"/>
    <d v="2022-08-11T00:00:00"/>
    <n v="152049857"/>
    <s v="DATUM INGENIERIA SAS"/>
    <n v="202207800"/>
    <n v="143"/>
    <m/>
    <m/>
    <m/>
    <m/>
    <m/>
    <s v="BOGOTA"/>
    <s v="NACIONAL"/>
    <s v="UNIDAD DE INGENIERIA"/>
    <n v="9.4048010522854323E-7"/>
    <x v="0"/>
    <n v="1"/>
    <n v="29"/>
  </r>
  <r>
    <n v="311"/>
    <s v="0354"/>
    <x v="2"/>
    <d v="2022-06-17T00:00:00"/>
    <x v="6"/>
    <s v="GAA0243"/>
    <s v="FR-300-GAA-0163-2022"/>
    <s v="N/A"/>
    <s v="Suministro, instalación y puesta en marcha de cuatro (4) espectrofotómetro en las PATP´s de EMCALI"/>
    <n v="180000000"/>
    <s v="60 DIAS"/>
    <s v="900-IP-0354-2022"/>
    <m/>
    <n v="202202969"/>
    <n v="180000000"/>
    <s v="N/A"/>
    <s v="N/A"/>
    <s v="N/A"/>
    <x v="2"/>
    <s v="JHON LARRY "/>
    <d v="2022-06-17T00:00:00"/>
    <n v="89"/>
    <n v="89"/>
    <s v="SI"/>
    <s v="Entregado al area"/>
    <x v="1"/>
    <s v="2 DE AGOSTO EN APROBACION DE POLIZAS"/>
    <m/>
    <d v="2022-08-08T00:00:00"/>
    <x v="1"/>
    <m/>
    <n v="52"/>
    <n v="52"/>
    <x v="2"/>
    <s v="INVERSION"/>
    <x v="199"/>
    <d v="2022-07-15T00:00:00"/>
    <n v="180000000"/>
    <s v="B&amp;C  BIOSCIENSES SAS"/>
    <n v="202207153"/>
    <n v="0"/>
    <m/>
    <m/>
    <m/>
    <m/>
    <m/>
    <s v="BOGOTA"/>
    <s v="NACIONAL"/>
    <s v="UNIDAD DE PRODUCCIÓN DE AGUA POTABLE"/>
    <n v="0"/>
    <x v="0"/>
    <n v="1"/>
    <n v="28"/>
  </r>
  <r>
    <n v="312"/>
    <s v="0355"/>
    <x v="2"/>
    <d v="2022-06-17T00:00:00"/>
    <x v="6"/>
    <s v="GAA0687"/>
    <s v="FR-300-GAA-0164-2022"/>
    <s v="N/A"/>
    <s v="Realizar el mantenimiento a los equipos Isotérmicos y de apoyo del Laboratorio Aguas Residuales"/>
    <n v="34998614"/>
    <s v="90 DIAS"/>
    <s v="900-IP-0355-2022"/>
    <m/>
    <n v="202202243"/>
    <m/>
    <s v="N/A"/>
    <s v="N/A"/>
    <s v="N/A"/>
    <x v="2"/>
    <s v="IVAN ALDANA"/>
    <d v="2022-06-21T00:00:00"/>
    <n v="-44729"/>
    <n v="-44733"/>
    <s v="SI"/>
    <s v="Entregado al area"/>
    <x v="1"/>
    <s v="18 de julio a la espera de la oferta_x000a_2 DE AGOSTO EN SOLICTUD DE POLIZAS Y RP. 5 DE AGOSTO A LA ESPERA DE LAS POLIZAS POR PARTE DEL PROVEEDOR.."/>
    <m/>
    <d v="2022-08-16T00:00:00"/>
    <x v="1"/>
    <m/>
    <n v="60"/>
    <n v="56"/>
    <x v="2"/>
    <s v="FUNCIONAMIENTO"/>
    <x v="200"/>
    <d v="2022-07-25T00:00:00"/>
    <n v="34998614"/>
    <s v="HOB TECHNOLOGY SAS"/>
    <n v="202207267"/>
    <n v="0"/>
    <m/>
    <m/>
    <m/>
    <m/>
    <m/>
    <s v="CALIL"/>
    <s v="LOCAL"/>
    <s v="LABORATORIO DE AGUAS RESIDUALES"/>
    <n v="0"/>
    <x v="0"/>
    <n v="1"/>
    <n v="42"/>
  </r>
  <r>
    <n v="313"/>
    <s v="0356"/>
    <x v="2"/>
    <d v="2022-06-17T00:00:00"/>
    <x v="6"/>
    <s v="GAA0685"/>
    <s v="FR-300-GAA-0165-2022"/>
    <s v="N/A"/>
    <s v="Realizar el mantenimiento a los equipos marca ELGA del Laboratorio de Aguas Residuales"/>
    <n v="12389330"/>
    <s v="90 dias"/>
    <s v="900-IP-0356-2022"/>
    <m/>
    <n v="202202241"/>
    <n v="12389330"/>
    <s v="N/A"/>
    <s v="N/A"/>
    <s v="N/A"/>
    <x v="2"/>
    <s v="IVAN ALDANA"/>
    <d v="2022-06-21T00:00:00"/>
    <n v="89"/>
    <n v="85"/>
    <s v="SI"/>
    <s v="Entregado al area"/>
    <x v="1"/>
    <s v="18 DE JULIO EN REVISION DE LA FPA, SE DEMORO PORQUE EL PROVEEDOR NO ESTA INSCRITO EN EL REGISTRO DE PROVEEDORES_x000a_2 DE AGOSTO EN ACEPTACION DE LA OFERTA. 5 AGOSTO EN REVISION DE LA ACEPTACION"/>
    <m/>
    <d v="2022-08-29T00:00:00"/>
    <x v="1"/>
    <m/>
    <n v="73"/>
    <n v="69"/>
    <x v="1"/>
    <s v="FUNCIONAMIENTO"/>
    <x v="201"/>
    <d v="2022-08-11T00:00:00"/>
    <n v="12389330"/>
    <s v="QUIMICONTROL SAS"/>
    <n v="202207813"/>
    <n v="0"/>
    <m/>
    <m/>
    <m/>
    <m/>
    <m/>
    <s v="BOGOTA"/>
    <s v="NACIONAL"/>
    <s v="LABORATORIO DE AGUAS RESIDUALES"/>
    <n v="0"/>
    <x v="0"/>
    <n v="1"/>
    <n v="34"/>
  </r>
  <r>
    <n v="314"/>
    <s v="0357"/>
    <x v="2"/>
    <d v="2022-06-17T00:00:00"/>
    <x v="6"/>
    <s v="GAA0684"/>
    <s v="FR-300-GAA-0166-2022"/>
    <s v="N/A"/>
    <s v="Realizar el mantenimiento a los equipos marca Shimadzu del Laboratorio de Aguas Residuales"/>
    <n v="15777015"/>
    <s v="90 dias"/>
    <s v="900-IP-0357-2022"/>
    <m/>
    <n v="202202240"/>
    <m/>
    <s v="N/A"/>
    <s v="N/A"/>
    <s v="N/A"/>
    <x v="2"/>
    <s v="JHON LARRY "/>
    <d v="2022-06-17T00:00:00"/>
    <e v="#VALUE!"/>
    <e v="#VALUE!"/>
    <s v="SI"/>
    <s v="Entregado al area"/>
    <x v="1"/>
    <s v="2 de agosto en cotizaciones, se estuvo a la espera del cdp por parte del area. 5 DE AGOSTO EN REVISION DE FPA E INVITACION."/>
    <m/>
    <d v="2022-09-13T00:00:00"/>
    <x v="11"/>
    <m/>
    <n v="88"/>
    <n v="88"/>
    <x v="2"/>
    <s v="FUNCIONAMIENTO"/>
    <x v="202"/>
    <d v="2022-08-31T00:00:00"/>
    <n v="15777015"/>
    <s v="LAB INSTRUMENTS SAS"/>
    <n v="202208249"/>
    <n v="0"/>
    <m/>
    <m/>
    <m/>
    <m/>
    <m/>
    <s v="BOGOTA"/>
    <s v="NACIONAL"/>
    <s v="LABORATORIO DE AGUAS RESIDUALES"/>
    <n v="0"/>
    <x v="0"/>
    <n v="1"/>
    <n v="46"/>
  </r>
  <r>
    <n v="315"/>
    <s v="0358"/>
    <x v="2"/>
    <d v="2022-06-17T00:00:00"/>
    <x v="6"/>
    <s v="GAA0683"/>
    <s v="FR-300-GAA-0167-2022"/>
    <s v="N/A"/>
    <s v="Realizar el mantenimiento a los equipos marca Analitikjena del Laboratorio Aguas Residuales"/>
    <n v="5972207"/>
    <m/>
    <s v="900-IP-0358-2022"/>
    <m/>
    <n v="202202239"/>
    <m/>
    <m/>
    <m/>
    <s v="N/A"/>
    <x v="2"/>
    <s v="JULIO GARCIA"/>
    <m/>
    <n v="89"/>
    <n v="44818"/>
    <s v="SI"/>
    <s v="Entregado al area"/>
    <x v="1"/>
    <s v="2 de agosto en polizas"/>
    <m/>
    <d v="2022-08-16T00:00:00"/>
    <x v="1"/>
    <m/>
    <n v="60"/>
    <n v="44789"/>
    <x v="2"/>
    <s v="FUNCIONAMIENTO"/>
    <x v="203"/>
    <d v="2022-07-26T00:00:00"/>
    <n v="5972207"/>
    <s v="ANALITICA Y REDES SAS"/>
    <n v="202207237"/>
    <n v="0"/>
    <m/>
    <m/>
    <m/>
    <m/>
    <m/>
    <s v="BOGOTA"/>
    <s v="NACIONAL"/>
    <s v="LABORATORIO DE AGUAS RESIDUALES"/>
    <n v="0"/>
    <x v="0"/>
    <n v="1"/>
    <n v="42"/>
  </r>
  <r>
    <n v="316"/>
    <s v="0359"/>
    <x v="2"/>
    <d v="2022-06-17T00:00:00"/>
    <x v="6"/>
    <s v="GAA0716"/>
    <s v="FR-300-GAA-0169-2022"/>
    <s v="N/A"/>
    <s v="Obras de Emergencia Bocatoma Río Cali"/>
    <n v="354975991"/>
    <s v="30 dias"/>
    <s v="900-IP-0359-2022"/>
    <m/>
    <n v="202204434"/>
    <n v="354975991"/>
    <s v="N/A"/>
    <s v="N/A"/>
    <s v="N/A"/>
    <x v="2"/>
    <s v="PAOLA BELTRAN"/>
    <d v="2022-06-21T00:00:00"/>
    <n v="-44729"/>
    <n v="-44733"/>
    <s v="SI"/>
    <s v="Entregado al area"/>
    <x v="1"/>
    <m/>
    <m/>
    <d v="2022-07-18T00:00:00"/>
    <x v="10"/>
    <m/>
    <m/>
    <m/>
    <x v="2"/>
    <s v="FUNCIONAMIENTO"/>
    <x v="204"/>
    <d v="2022-06-24T00:00:00"/>
    <n v="354975991"/>
    <s v="PROQUING SAS"/>
    <m/>
    <n v="0"/>
    <m/>
    <m/>
    <m/>
    <m/>
    <m/>
    <s v="CALI"/>
    <s v="LOCAL"/>
    <s v="UNIDAD DE PRODUCCIÓN DE AGUA POTABLE"/>
    <n v="0"/>
    <x v="0"/>
    <n v="1"/>
    <n v="21"/>
  </r>
  <r>
    <n v="317"/>
    <s v="0360"/>
    <x v="2"/>
    <d v="2022-06-17T00:00:00"/>
    <x v="6"/>
    <s v="GAA0717"/>
    <s v="FR-300-GAA-0171-2022"/>
    <s v="N/A"/>
    <s v="Obras temporales de emergencia para mitigar el colapso del canal Santa Monica en el sector Sur colindante con el edificio Leforet de la ciudad de Cali."/>
    <n v="449888440"/>
    <m/>
    <s v="900-IP-0360-2022"/>
    <m/>
    <n v="202204435"/>
    <m/>
    <s v="N/A"/>
    <s v="N/A"/>
    <s v="N/A"/>
    <x v="2"/>
    <s v="PAOLA BELTRAN"/>
    <d v="2022-06-21T00:00:00"/>
    <n v="89"/>
    <n v="85"/>
    <s v="SI"/>
    <s v="Entregado al area"/>
    <x v="1"/>
    <m/>
    <m/>
    <d v="2022-07-05T00:00:00"/>
    <x v="1"/>
    <m/>
    <n v="-44729"/>
    <n v="-44733"/>
    <x v="2"/>
    <s v="FUNCIONAMIENTO"/>
    <x v="205"/>
    <m/>
    <n v="448908750"/>
    <s v="SP5 SA"/>
    <n v="202205849"/>
    <n v="979690"/>
    <m/>
    <m/>
    <m/>
    <m/>
    <m/>
    <s v="CALI"/>
    <s v="LOCAL"/>
    <s v="UNIDAD DE INGENIERÍA"/>
    <n v="2.1776287472512076E-3"/>
    <x v="0"/>
    <n v="1"/>
    <n v="12"/>
  </r>
  <r>
    <n v="318"/>
    <s v="0361"/>
    <x v="2"/>
    <d v="2022-06-21T00:00:00"/>
    <x v="6"/>
    <s v="GAA0720"/>
    <s v="FR-300-GAA-0174-2022"/>
    <s v="300-CMA-1243-2020"/>
    <s v="Suministrar Cloruro Férrico en base líquida al 42% para ser utilizado en el tratamiento de las Aguas Residuales en la PTAR C."/>
    <n v="1695980455"/>
    <s v="90 DIAS"/>
    <s v="N/A"/>
    <m/>
    <n v="202203633"/>
    <n v="1695980455"/>
    <s v="N/A"/>
    <s v="N/A"/>
    <s v="N/A"/>
    <x v="1"/>
    <s v="LUCY ARBELAEZ"/>
    <d v="2022-06-21T00:00:00"/>
    <n v="-44733"/>
    <n v="-44733"/>
    <s v="SI"/>
    <s v="Entregado al area"/>
    <x v="1"/>
    <m/>
    <m/>
    <d v="2022-07-17T00:00:00"/>
    <x v="10"/>
    <m/>
    <n v="26"/>
    <n v="26"/>
    <x v="0"/>
    <s v="FUNCIONAMIENTO"/>
    <x v="206"/>
    <d v="2022-07-07T00:00:00"/>
    <n v="1694603796"/>
    <s v="QUIMPAC DE COLOMBIA SA"/>
    <n v="202207013"/>
    <n v="1376659"/>
    <m/>
    <m/>
    <m/>
    <m/>
    <m/>
    <s v="YUMBO"/>
    <s v="MUNICIPAL"/>
    <s v="UNIDAD DE TRATAMIENTO"/>
    <n v="8.1171867042536172E-4"/>
    <x v="0"/>
    <n v="0"/>
    <n v="26"/>
  </r>
  <r>
    <n v="319"/>
    <s v="0362"/>
    <x v="0"/>
    <d v="2022-06-21T00:00:00"/>
    <x v="6"/>
    <s v="GT0230"/>
    <s v="FR-400-GT-0176-2022"/>
    <s v="N/A"/>
    <s v="Mantenimiento Preventivo y Correctivo de Equipo Desmineralizador de Agua, esto conforme al sostenimiento de los servicios, garantizando la continuidad del servicio y aportando positivamente a los TMR comprometidos con los clientes"/>
    <n v="8992830"/>
    <s v="90 DIAS"/>
    <s v="900-IP-0362-2022"/>
    <m/>
    <n v="202204351"/>
    <n v="8992830"/>
    <s v="N/A"/>
    <s v="N/A"/>
    <s v="N/A"/>
    <x v="2"/>
    <s v="NINFA SANTANA"/>
    <d v="2022-08-08T00:00:00"/>
    <e v="#VALUE!"/>
    <e v="#VALUE!"/>
    <s v="SI"/>
    <s v="Entregado al area"/>
    <x v="1"/>
    <m/>
    <m/>
    <d v="2022-09-06T00:00:00"/>
    <x v="11"/>
    <m/>
    <n v="77"/>
    <n v="29"/>
    <x v="2"/>
    <s v="FUNCIONAMIENTO"/>
    <x v="207"/>
    <d v="2022-08-31T00:00:00"/>
    <n v="8992830"/>
    <s v="HIDROPURA SAS"/>
    <n v="202208244"/>
    <n v="0"/>
    <m/>
    <m/>
    <m/>
    <m/>
    <m/>
    <s v="CALI"/>
    <s v="LOCAL"/>
    <s v="SUBGERENCIA OPERATIVA"/>
    <n v="0"/>
    <x v="0"/>
    <n v="1"/>
    <n v="55"/>
  </r>
  <r>
    <n v="320"/>
    <s v="0363"/>
    <x v="5"/>
    <d v="2022-06-21T00:00:00"/>
    <x v="6"/>
    <s v="GHA0073_x000a_GHA0074"/>
    <s v="FR-800-GHA-0143-2022"/>
    <s v="N/A"/>
    <s v="Contar con la atención integral de aires acondicionados y sistemas de refrigeración: realizar el mantenimiento preventivo, correctivo y actividades complementarias en los equipos de aires acondiciondos y sistemas de refrigeración de EMCALI EICE ESP."/>
    <n v="440318278"/>
    <s v="5 MESES"/>
    <s v="900-IP-0363-2022"/>
    <m/>
    <n v="202204230"/>
    <n v="440318278"/>
    <s v="N/A"/>
    <s v="N/A"/>
    <s v="N/A"/>
    <x v="2"/>
    <s v="PAOLA BELTRAN"/>
    <d v="2022-06-24T00:00:00"/>
    <n v="-44733"/>
    <n v="-44736"/>
    <s v="SI"/>
    <s v="Entregado al area"/>
    <x v="1"/>
    <s v="18 de julio en revision de fpa "/>
    <m/>
    <d v="2022-07-29T00:00:00"/>
    <x v="10"/>
    <m/>
    <n v="38"/>
    <n v="35"/>
    <x v="2"/>
    <s v="FUNCIONAMIENTO"/>
    <x v="208"/>
    <d v="2022-07-26T00:00:00"/>
    <n v="399185752"/>
    <s v="HECTOR ANGULO SINISTERRA"/>
    <n v="202207181"/>
    <n v="41132526"/>
    <m/>
    <m/>
    <m/>
    <m/>
    <m/>
    <s v="CALI"/>
    <s v="LOCAL"/>
    <s v="UNIDAD GESTIÓN ADMINISTRATIVA"/>
    <n v="9.3415440728081695E-2"/>
    <x v="1"/>
    <n v="1"/>
    <n v="28"/>
  </r>
  <r>
    <n v="321"/>
    <s v="0364"/>
    <x v="2"/>
    <d v="2022-06-21T00:00:00"/>
    <x v="6"/>
    <s v="GAA0667"/>
    <s v="FR-300-GAA-0148-2022"/>
    <s v="N/A"/>
    <s v="Suministro valvulas bocatoma Río Cauca"/>
    <n v="137054145"/>
    <s v="90 DIAS"/>
    <s v="900-IP-0364-2022"/>
    <m/>
    <n v="202203121"/>
    <m/>
    <s v="N/A"/>
    <s v="N/A"/>
    <s v="N/A"/>
    <x v="2"/>
    <s v="LINA ECHAVARRIA"/>
    <d v="2022-06-21T00:00:00"/>
    <n v="-44733"/>
    <n v="-44733"/>
    <s v="SI"/>
    <s v="Entregado al area"/>
    <x v="1"/>
    <s v="30 de junio en invitacion a ofertar_x000a_14 de julio en evaluacion"/>
    <m/>
    <d v="2022-07-27T00:00:00"/>
    <x v="10"/>
    <m/>
    <n v="36"/>
    <n v="36"/>
    <x v="2"/>
    <s v="INVERSION"/>
    <x v="209"/>
    <d v="2022-07-08T00:00:00"/>
    <n v="136934075"/>
    <s v="B&amp;V INGENIERIA SAS"/>
    <n v="202206982"/>
    <n v="120070"/>
    <m/>
    <m/>
    <m/>
    <m/>
    <m/>
    <s v="Envigado Antioquia"/>
    <s v="NACIONAL"/>
    <s v="UNIDAD DE MANTENIMIENTO"/>
    <n v="8.7607711536196147E-4"/>
    <x v="0"/>
    <n v="1"/>
    <n v="26"/>
  </r>
  <r>
    <n v="322"/>
    <s v="0365"/>
    <x v="6"/>
    <d v="2022-06-22T00:00:00"/>
    <x v="6"/>
    <s v="GTI0186"/>
    <s v="FR-200-GTI-0103-2022"/>
    <s v="N/A"/>
    <s v="Prestar los servicios de Cloud Funtional Services, Features y Parameters para la solución SAP Ariba Sourcing Suite de EMCALI EICE ESP"/>
    <n v="90170000"/>
    <m/>
    <s v="900-IP-0365-2022"/>
    <m/>
    <n v="202203526"/>
    <m/>
    <s v="N/A"/>
    <s v="N/A"/>
    <s v="N/A"/>
    <x v="2"/>
    <s v="PAOLA BELTRAN"/>
    <d v="2022-06-22T00:00:00"/>
    <n v="139"/>
    <n v="139"/>
    <s v="SI"/>
    <s v="Entregado al area"/>
    <x v="1"/>
    <s v="14 de julio en cotizaciones. 8 DE AGOSTO SE RECIBE LA OFERTA_x000a_28 DE SEPTIEMBRE EN EVALUACION DE LA OFERTA"/>
    <m/>
    <d v="2022-10-13T00:00:00"/>
    <x v="12"/>
    <n v="113"/>
    <m/>
    <n v="113"/>
    <x v="1"/>
    <s v="FUNCIONAMIENTO"/>
    <x v="210"/>
    <d v="2022-09-23T00:00:00"/>
    <n v="65106462"/>
    <s v="SAP COLOMBIA SAS"/>
    <n v="202208624"/>
    <n v="25063538"/>
    <s v="BOGOTA"/>
    <s v="NACIONAL"/>
    <m/>
    <m/>
    <m/>
    <m/>
    <m/>
    <m/>
    <n v="0.27795872241321945"/>
    <x v="1"/>
    <n v="1"/>
    <n v="45"/>
  </r>
  <r>
    <n v="323"/>
    <s v="0366"/>
    <x v="2"/>
    <d v="2022-06-22T00:00:00"/>
    <x v="6"/>
    <s v="GAA0666"/>
    <s v="FR-300-GAA-0175-2022"/>
    <s v="N/A"/>
    <s v="Suministro repuestos reles de protección GE Multilin modelo 869"/>
    <n v="64920450"/>
    <s v="90 DIAS"/>
    <s v="900-IP-0366-2022"/>
    <m/>
    <n v="202203120"/>
    <m/>
    <s v="N/A"/>
    <s v="N/A"/>
    <s v="N/A"/>
    <x v="2"/>
    <s v="JULIO GARCIA"/>
    <d v="2022-06-22T00:00:00"/>
    <n v="84"/>
    <n v="84"/>
    <s v="SI"/>
    <s v="Entregado al area"/>
    <x v="1"/>
    <s v="2 de agosto en polizas"/>
    <m/>
    <d v="2022-08-11T00:00:00"/>
    <x v="1"/>
    <m/>
    <n v="50"/>
    <n v="50"/>
    <x v="2"/>
    <s v="INVERSION"/>
    <x v="211"/>
    <d v="2022-07-28T00:00:00"/>
    <n v="64920450"/>
    <s v="SOPORTE A LA INGENIERA SAS"/>
    <n v="202207314"/>
    <n v="0"/>
    <m/>
    <m/>
    <m/>
    <m/>
    <m/>
    <s v="CALI"/>
    <s v="LOCAL"/>
    <s v="UNIDAD MANTENIMIENTO"/>
    <n v="0"/>
    <x v="0"/>
    <n v="1"/>
    <n v="36"/>
  </r>
  <r>
    <n v="324"/>
    <s v="0367"/>
    <x v="2"/>
    <d v="2022-06-22T00:00:00"/>
    <x v="6"/>
    <s v="GAA0709"/>
    <s v="FR-300-GAA-0168-2022"/>
    <s v="N/A"/>
    <s v="Suministro e Instalación Celda Sistema de Arranque Bombeo Bellavista 2 - Planta Río Cali"/>
    <n v="130495795"/>
    <s v="30 DIAS"/>
    <s v="900-IP-0367-2022"/>
    <m/>
    <n v="202203910"/>
    <m/>
    <s v="N/A"/>
    <s v="N/A"/>
    <s v="N/A"/>
    <x v="2"/>
    <s v="JULIETA ORTIZ"/>
    <d v="2022-06-24T00:00:00"/>
    <n v="84"/>
    <n v="82"/>
    <s v="SI"/>
    <s v="Entregado al area"/>
    <x v="1"/>
    <s v="2 DE AGOSTO EN APROBACION DE POLIZAS"/>
    <m/>
    <d v="2022-08-18T00:00:00"/>
    <x v="1"/>
    <m/>
    <n v="57"/>
    <n v="55"/>
    <x v="2"/>
    <s v="INVERSION"/>
    <x v="212"/>
    <d v="2022-07-26T00:00:00"/>
    <n v="127802430"/>
    <s v="CONFECCIONES ELECTRICAS SAS EN REORGANIZACION"/>
    <n v="202207318"/>
    <n v="2693365"/>
    <m/>
    <m/>
    <m/>
    <m/>
    <m/>
    <s v="CANDELARIA"/>
    <s v="MUNICIPAL"/>
    <s v="UNIDAD DE MANTENIMIENTO"/>
    <n v="2.0639477310360844E-2"/>
    <x v="0"/>
    <n v="1"/>
    <n v="41"/>
  </r>
  <r>
    <n v="325"/>
    <s v="0368"/>
    <x v="2"/>
    <d v="2022-06-22T00:00:00"/>
    <x v="6"/>
    <s v="GAA0414"/>
    <s v="FR-300-GAA-0170-2022"/>
    <s v="N/A"/>
    <s v="Realizar actividades para la gestión del Parque de medidores y el mejoramiento de la medición de consumos"/>
    <n v="499413972"/>
    <s v="3 Meses"/>
    <s v="900-IP-0368-2022"/>
    <m/>
    <n v="202203888"/>
    <n v="1113359867"/>
    <s v="N/A"/>
    <s v="N/A"/>
    <s v="N/A"/>
    <x v="2"/>
    <s v="HAROLD MONDRAGON"/>
    <d v="2022-06-22T00:00:00"/>
    <n v="84"/>
    <n v="84"/>
    <s v="SI"/>
    <s v="Entregado al area"/>
    <x v="1"/>
    <s v="18 DE JULIO EN REVISION DE LA FPA POR PARTE DE LA JEFE SANDRA_x000a_1 DE AGOSTO ESPERANDO LA POLIZAS"/>
    <m/>
    <d v="2022-08-05T00:00:00"/>
    <x v="1"/>
    <m/>
    <n v="44"/>
    <n v="44"/>
    <x v="2"/>
    <s v="FUNCIONAMIENTO"/>
    <x v="213"/>
    <d v="2022-07-22T00:00:00"/>
    <n v="493806334"/>
    <s v="DELTEC SA"/>
    <n v="202207235"/>
    <n v="5607638"/>
    <m/>
    <m/>
    <m/>
    <m/>
    <m/>
    <s v="CALI"/>
    <s v="LOCAL"/>
    <s v="UNIDAD CONTROL INTEGRAL DE PERDIDAS DE AGUA"/>
    <n v="1.1228436356201904E-2"/>
    <x v="0"/>
    <n v="1"/>
    <n v="32"/>
  </r>
  <r>
    <n v="326"/>
    <s v="0369"/>
    <x v="2"/>
    <d v="2022-06-22T00:00:00"/>
    <x v="6"/>
    <s v="GAA0680"/>
    <s v="FR-300-GAA-0172-2022"/>
    <s v="N/A"/>
    <s v="Mantenimiento de equipamiento marca Metrohm y Skatpure del Laboratorio de Agua Potable"/>
    <n v="71971578"/>
    <s v="90 DIAS"/>
    <s v="900-IP-0369-2022"/>
    <m/>
    <n v="202202235"/>
    <n v="72000000"/>
    <s v="N/A"/>
    <s v="N/A"/>
    <s v="N/A"/>
    <x v="2"/>
    <s v="CRISTHIAN BURBANO"/>
    <d v="2022-06-22T00:00:00"/>
    <n v="-44734"/>
    <n v="-44734"/>
    <s v="SI"/>
    <s v="Entregado al area"/>
    <x v="1"/>
    <s v="18 de julio en aceptacion de oferta"/>
    <m/>
    <d v="2022-07-26T00:00:00"/>
    <x v="10"/>
    <m/>
    <m/>
    <m/>
    <x v="2"/>
    <s v="FUNCIONAMIENTO"/>
    <x v="214"/>
    <d v="2022-07-15T00:00:00"/>
    <n v="71971578"/>
    <s v="POLCO SAS"/>
    <n v="202207176"/>
    <n v="0"/>
    <m/>
    <m/>
    <m/>
    <m/>
    <m/>
    <s v="MEDELLIN"/>
    <s v="NACIONAL"/>
    <s v="LABORATORIO DE AGUA POTABLE"/>
    <n v="0"/>
    <x v="0"/>
    <n v="1"/>
    <n v="24"/>
  </r>
  <r>
    <n v="327"/>
    <s v="0370"/>
    <x v="2"/>
    <d v="2022-06-22T00:00:00"/>
    <x v="6"/>
    <s v="GAA0059_x000a_GAA0686"/>
    <s v="FR-300-GAA-0173-2022"/>
    <s v="N/A"/>
    <s v="Mnatenimiento de equipamiento de los Laboratorios de Ensayos de la UENAA"/>
    <n v="144234069"/>
    <s v="90 DIAS"/>
    <s v="900-IP-0370-2022"/>
    <m/>
    <s v="202202233_x000a_202202242"/>
    <n v="144346069"/>
    <s v="N/A"/>
    <s v="N/A"/>
    <s v="N/A"/>
    <x v="2"/>
    <s v="CRISTHIAN BURBANO"/>
    <d v="2022-06-22T00:00:00"/>
    <n v="84"/>
    <n v="84"/>
    <s v="G"/>
    <s v="Entregado al area"/>
    <x v="1"/>
    <s v="18 de julio en aceptacion de oferta"/>
    <m/>
    <d v="2022-08-01T00:00:00"/>
    <x v="1"/>
    <m/>
    <n v="40"/>
    <n v="40"/>
    <x v="2"/>
    <s v="FUNCIONAMIENTO"/>
    <x v="215"/>
    <d v="2022-07-15T00:00:00"/>
    <n v="142708534"/>
    <s v="CONTROL E INSTRUMENTACION INDUSTRIAL DE COLOMBIA SAS"/>
    <n v="202207129"/>
    <n v="1525535"/>
    <m/>
    <m/>
    <m/>
    <m/>
    <m/>
    <s v="CALI"/>
    <s v="LOCAL"/>
    <s v="LABORATORIO DE AGUA POTABLE"/>
    <n v="1.0576800686389843E-2"/>
    <x v="0"/>
    <n v="1"/>
    <n v="28"/>
  </r>
  <r>
    <n v="328"/>
    <s v="0371"/>
    <x v="6"/>
    <d v="2022-06-24T00:00:00"/>
    <x v="6"/>
    <s v="GTI0027"/>
    <s v="FR-200-GTI-0101-2022"/>
    <s v="N/A"/>
    <s v="Renovación de las suscripciones en la nube de Microsoft Dynamics CRM"/>
    <n v="455000000"/>
    <s v="60 DIAS"/>
    <s v="900-IP-0371-2022"/>
    <m/>
    <n v="202203098"/>
    <m/>
    <s v="N/A"/>
    <s v="N/A"/>
    <s v="N/A"/>
    <x v="2"/>
    <s v="PAOLA BELTRAN"/>
    <d v="2022-06-24T00:00:00"/>
    <n v="82"/>
    <n v="82"/>
    <s v="SI"/>
    <s v="Entregado al area"/>
    <x v="1"/>
    <s v="18 de julio en solicitud de conceptos_x000a_17 de mayo en recepcion de observaciones_x000a_9 de junio evaluacion_x000a_1 AGOSTO EN APROBACION DE POLIZAS. 5 DE AGOSTO SE REALIZO OTRO SI PARA CORREGIR EL FORMULARIO Y EN ESPERA QUE SEGUROS APRUEBE LAS POLIZAS. "/>
    <s v="HABLAR CON PAO PARA EXPLICAR LO SUCEDIDO CON  LAS POLIZAS"/>
    <d v="2022-08-08T00:00:00"/>
    <x v="1"/>
    <m/>
    <n v="45"/>
    <n v="45"/>
    <x v="2"/>
    <s v="FUNCIONAMIENTO"/>
    <x v="216"/>
    <d v="2022-06-30T00:00:00"/>
    <n v="452335404"/>
    <s v="CONTROLES EMPRESARIALES SAS"/>
    <n v="202206957"/>
    <n v="2664596"/>
    <m/>
    <m/>
    <m/>
    <m/>
    <m/>
    <s v="CALI"/>
    <s v="LOCAL"/>
    <s v="GTI"/>
    <n v="5.8562549450549449E-3"/>
    <x v="1"/>
    <n v="1"/>
    <n v="31"/>
  </r>
  <r>
    <n v="329"/>
    <s v="0372"/>
    <x v="1"/>
    <d v="2022-06-24T00:00:00"/>
    <x v="6"/>
    <s v="GE0292"/>
    <s v="FR-500-GE-0201-2022"/>
    <s v="N/A"/>
    <s v="Suministro de equipo de prueba de medidores de energía eléctrica (EPM), Fuentes trifásicas electrónicas para EPM con su respectivo patrón de medida de energía y patrón comparador trifásico para calibración de EPM."/>
    <n v="3019654000"/>
    <m/>
    <s v="900-IPU-0372-2022"/>
    <s v="IPU"/>
    <n v="202203115"/>
    <m/>
    <s v="108-202200008"/>
    <m/>
    <s v="Mayor cuantia"/>
    <x v="0"/>
    <s v="JULIETA ORTIZ"/>
    <d v="2022-06-30T00:00:00"/>
    <e v="#VALUE!"/>
    <e v="#VALUE!"/>
    <s v="NO"/>
    <s v="Cerrado"/>
    <x v="0"/>
    <d v="2022-11-29T00:00:00"/>
    <s v="2 DE AGOSTO ESPERANDO INTELIGENCIA DE MERCADO_x000a_31 de agosto recepcion de observaciones_x000a_28 de septiembre en evaluacion_x000a_12-11-2022, En espera del Informe de Evaluacion. En espera Acta de Comité de Evaluacion_x000a_29-11-2022, PENDIENTE ACTA COMITÉ CONTRATACION PARA CIERRE PROCESO "/>
    <d v="2022-11-29T00:00:00"/>
    <x v="5"/>
    <s v="nov"/>
    <n v="158"/>
    <n v="152"/>
    <x v="3"/>
    <s v="INVERSION"/>
    <x v="0"/>
    <m/>
    <m/>
    <m/>
    <m/>
    <m/>
    <m/>
    <m/>
    <m/>
    <m/>
    <m/>
    <m/>
    <m/>
    <m/>
    <m/>
    <x v="0"/>
    <m/>
    <m/>
  </r>
  <r>
    <n v="330"/>
    <s v="0373"/>
    <x v="2"/>
    <d v="2022-06-24T00:00:00"/>
    <x v="6"/>
    <s v="GAA0651"/>
    <s v="FR-300-GAA-0087-2022"/>
    <s v="N/A"/>
    <s v="Suministro de equipos de Automatismo y Telemetría"/>
    <n v="244211285"/>
    <m/>
    <s v="900-IP-0373-2022"/>
    <s v="IP-"/>
    <n v="202201156"/>
    <m/>
    <s v="N/A"/>
    <s v="N/A"/>
    <s v="N/A"/>
    <x v="2"/>
    <s v="LINA ECHAVARRIA"/>
    <d v="2022-07-19T00:00:00"/>
    <e v="#VALUE!"/>
    <e v="#VALUE!"/>
    <s v="NO"/>
    <s v="Cerrado"/>
    <x v="0"/>
    <m/>
    <s v="14 de julio en cotizaciones_x000a_19 de julio reasignado a lina echavarria_x000a_1 DE AGOSTO EN ELABORACION EN FPA E INVITACION 4 DE AGOSTO SE CIERRA PORQUE EL PROVEEDOR QUE ES CONINFRAESTRUCTURA NO APLICABA POR RPESENTAR PAPELES FALSOS"/>
    <d v="2022-08-04T00:00:00"/>
    <x v="5"/>
    <s v="ago"/>
    <n v="41"/>
    <n v="16"/>
    <x v="3"/>
    <s v="INVERSION"/>
    <x v="0"/>
    <m/>
    <m/>
    <m/>
    <m/>
    <m/>
    <m/>
    <m/>
    <m/>
    <m/>
    <m/>
    <m/>
    <m/>
    <m/>
    <m/>
    <x v="0"/>
    <m/>
    <m/>
  </r>
  <r>
    <n v="331"/>
    <s v="0374"/>
    <x v="2"/>
    <d v="2022-06-24T00:00:00"/>
    <x v="6"/>
    <s v="GAA0378"/>
    <s v="FR-300-GAA-0151-2022"/>
    <s v="N/A"/>
    <s v="Mantenimiento equipos menores estaciones de bombeo de aguas lluvias y/o residuales"/>
    <n v="170109720"/>
    <m/>
    <s v="900-IP-0314-2022"/>
    <m/>
    <n v="202201832"/>
    <m/>
    <s v="N/A"/>
    <s v="N/A"/>
    <s v="N/A"/>
    <x v="2"/>
    <s v="LINA ECHAVARRIA"/>
    <d v="2022-07-19T00:00:00"/>
    <e v="#VALUE!"/>
    <e v="#VALUE!"/>
    <s v="SI"/>
    <s v="Entregado al area"/>
    <x v="1"/>
    <s v="14 de julio en cotizaciones_x000a_19 de julio reasignado a lina echavarria_x000a_1 DE AGOSTO EN ELABORACION EN FPA E INVITACION"/>
    <m/>
    <d v="2022-09-29T00:00:00"/>
    <x v="11"/>
    <m/>
    <n v="97"/>
    <n v="72"/>
    <x v="2"/>
    <s v="FUNCIONAMIENTO"/>
    <x v="217"/>
    <m/>
    <n v="168831739"/>
    <s v="Bego Ingeniería Cosultores SAS"/>
    <m/>
    <n v="1277981"/>
    <m/>
    <m/>
    <m/>
    <m/>
    <m/>
    <m/>
    <m/>
    <s v="UNIDAD DE BOMBEO"/>
    <n v="7.5126865178544765E-3"/>
    <x v="0"/>
    <n v="1"/>
    <n v="69"/>
  </r>
  <r>
    <n v="332"/>
    <s v="0375"/>
    <x v="6"/>
    <d v="2022-06-24T00:00:00"/>
    <x v="6"/>
    <s v="GTI0182"/>
    <s v="FR-200-GTI-0002-2022"/>
    <s v="N/A"/>
    <s v="Prestación de servicio especializados de implementación de la solución, puesta en producción y soporte, para sistematizar la gestión y control de los procesos disciplinarios con los parámetros técnicos y legales vigentes."/>
    <n v="300000000"/>
    <s v="28 DE NOVIEMBRE 2022"/>
    <s v="900-IP-0375-2022"/>
    <m/>
    <n v="202202122"/>
    <m/>
    <s v="N/A"/>
    <s v="N/A"/>
    <s v="N/A"/>
    <x v="2"/>
    <s v="PAOLA BELTRAN"/>
    <d v="2022-06-28T00:00:00"/>
    <n v="82"/>
    <n v="78"/>
    <s v="SI"/>
    <s v="Entregado al area"/>
    <x v="1"/>
    <s v="18 de julio en invitacion a ofertar_x000a_1 de agosto en revision de la aceptacion de oferta. 5 DE AGOSTO EN SOLICITUD DE POLIZAS AL PROVEEDOR."/>
    <m/>
    <d v="2022-08-17T00:00:00"/>
    <x v="1"/>
    <m/>
    <n v="54"/>
    <n v="50"/>
    <x v="2"/>
    <s v="FUNCIONAMIENTO"/>
    <x v="218"/>
    <d v="2022-08-02T00:00:00"/>
    <n v="298000000"/>
    <s v="OPTIMAL THECNOLOGY SAS"/>
    <n v="202207629"/>
    <n v="2000000"/>
    <m/>
    <m/>
    <m/>
    <m/>
    <m/>
    <s v="CALI"/>
    <s v="LOCAL"/>
    <s v="GTI"/>
    <n v="6.6666666666666671E-3"/>
    <x v="1"/>
    <n v="1"/>
    <n v="33"/>
  </r>
  <r>
    <n v="333"/>
    <s v="0376"/>
    <x v="1"/>
    <d v="2022-06-28T00:00:00"/>
    <x v="6"/>
    <s v="GE0313"/>
    <s v="FR-500-GE-0115-2022"/>
    <s v="N/A"/>
    <s v="Calibración de Instrumentos y Equipos de Laboratorio"/>
    <n v="40721800"/>
    <s v="28 DE NOVIEMBRE 2022"/>
    <s v="900-IP-0376-2022"/>
    <m/>
    <n v="202201683"/>
    <n v="40721800"/>
    <s v="N/A"/>
    <s v="N/A"/>
    <s v="N/A"/>
    <x v="2"/>
    <s v="JUAN DAVID GOMEZ"/>
    <d v="2022-06-28T00:00:00"/>
    <n v="78"/>
    <n v="78"/>
    <s v="SI"/>
    <s v="Entregado al area"/>
    <x v="1"/>
    <s v="1 de agosto esperando firma de fpa e invitacion. 5 DE AGOSTO PARA ENVIAR INVITACION A OFERTAR."/>
    <m/>
    <d v="2022-08-30T00:00:00"/>
    <x v="1"/>
    <m/>
    <n v="63"/>
    <n v="63"/>
    <x v="2"/>
    <s v="FUNCIONAMIENTO"/>
    <x v="219"/>
    <d v="2022-08-24T00:00:00"/>
    <n v="40721800"/>
    <s v="QTEST SAS"/>
    <n v="202207958"/>
    <n v="0"/>
    <m/>
    <m/>
    <m/>
    <m/>
    <m/>
    <s v="ENVIGADO"/>
    <s v="NACIONAL"/>
    <s v="UNIDAD DE SERVICIOS COMPLEMENTARIOS"/>
    <n v="0"/>
    <x v="0"/>
    <n v="1"/>
    <n v="45"/>
  </r>
  <r>
    <n v="334"/>
    <s v="0377"/>
    <x v="2"/>
    <d v="2022-06-28T00:00:00"/>
    <x v="6"/>
    <s v="GAA0266_x000a_GAA0268"/>
    <s v="FR-300-GAA-0139-2022"/>
    <s v="N/A"/>
    <s v="Suministro e instalación de unidades de bombeo centrifugas PTAP y Bocatoma &quot;La Reforma&quot;"/>
    <n v="62299950"/>
    <m/>
    <s v="900-IP-0377-2022"/>
    <m/>
    <s v="202202917_x000a_202202918"/>
    <m/>
    <s v="N/A"/>
    <s v="N/A"/>
    <s v="N/A"/>
    <x v="2"/>
    <s v="ANA MARIA GIL"/>
    <d v="2022-06-28T00:00:00"/>
    <n v="78"/>
    <n v="78"/>
    <s v="SI"/>
    <s v="Entregado al area"/>
    <x v="1"/>
    <s v="2 DE AGOSTO PENDIENTE DE LA POLIZA POR PARTE DEL PROVEEDOR 5 DE AGOSTO EN ESPERA DE LA APROBACION DE POLIZAS"/>
    <m/>
    <d v="2022-08-09T00:00:00"/>
    <x v="1"/>
    <m/>
    <n v="42"/>
    <n v="42"/>
    <x v="2"/>
    <s v="INVERSION"/>
    <x v="220"/>
    <d v="2022-07-25T00:00:00"/>
    <n v="62044993"/>
    <s v="B&amp;V INGENIERIA"/>
    <m/>
    <n v="254957"/>
    <m/>
    <m/>
    <m/>
    <m/>
    <m/>
    <m/>
    <m/>
    <s v="UNIDAD DE MANTENIMIENTO"/>
    <n v="4.0924109890938913E-3"/>
    <x v="0"/>
    <n v="1"/>
    <n v="23"/>
  </r>
  <r>
    <n v="335"/>
    <s v="0378"/>
    <x v="0"/>
    <d v="2022-06-28T00:00:00"/>
    <x v="6"/>
    <s v="GT0177"/>
    <s v="FR-400-GT-0189-2022"/>
    <s v="N/A"/>
    <s v="Mantenimiento Correctivo de Transferencias Automáticas"/>
    <n v="58191000"/>
    <s v="90 DIAS"/>
    <s v="900-IP-0378-2022"/>
    <m/>
    <n v="202202939"/>
    <m/>
    <s v="N/A"/>
    <s v="N/A"/>
    <s v="N/A"/>
    <x v="2"/>
    <s v="JULIETA ORTIZ"/>
    <d v="2022-06-30T00:00:00"/>
    <n v="-44740"/>
    <n v="-44742"/>
    <s v="G"/>
    <s v="Aprobacion de polizas"/>
    <x v="1"/>
    <s v="2 DE AGOSTO EN SOLICITUD DEL RP 5 de agosto en aprobacion de polizas"/>
    <m/>
    <d v="2022-08-17T00:00:00"/>
    <x v="1"/>
    <m/>
    <n v="50"/>
    <n v="48"/>
    <x v="2"/>
    <s v="FUNCIONAMIENTO"/>
    <x v="221"/>
    <d v="2022-08-01T00:00:00"/>
    <n v="56141820"/>
    <s v="LACC INGENIERIA SAS"/>
    <n v="202207624"/>
    <n v="2049180"/>
    <m/>
    <m/>
    <m/>
    <m/>
    <m/>
    <s v="CALI"/>
    <s v="LOCAL"/>
    <s v="SUBGERENCIA OPERATIVA"/>
    <n v="3.5214723926380365E-2"/>
    <x v="0"/>
    <n v="1"/>
    <n v="36"/>
  </r>
  <r>
    <n v="336"/>
    <s v="0379"/>
    <x v="0"/>
    <d v="2022-06-28T00:00:00"/>
    <x v="6"/>
    <s v="GT0171"/>
    <s v="FR-400-GT-0180-2022"/>
    <s v="N/A"/>
    <s v="Mantenimiento Correctivo de plantas de emergencia de las Centrales Telefónicas de EMCALI EICE ESP."/>
    <n v="74052510"/>
    <m/>
    <s v="900-IP-0379-2022"/>
    <s v="IP-"/>
    <n v="202202934"/>
    <m/>
    <s v="N/A"/>
    <s v="N/A"/>
    <s v="N/A"/>
    <x v="2"/>
    <s v="JHON LARRY "/>
    <d v="2022-06-28T00:00:00"/>
    <e v="#VALUE!"/>
    <e v="#VALUE!"/>
    <s v="SI"/>
    <s v="Solicitud de Polizas y Rp"/>
    <x v="1"/>
    <m/>
    <s v="2 de agosto en elaboracion de la fpa e invitacion. tODAS LAS COTIZACIONES HAN ESTADO POR ENCIMA DEL VALOR DEL PRESUPUESTO, NO SE HA LOGRADO LLEGAR A ACUERDOS._x000a_28 DE SEPTIEMBRE PENDIENE EL REGISTRO PRESUPUESTAL"/>
    <d v="2022-11-08T00:00:00"/>
    <x v="13"/>
    <m/>
    <n v="133"/>
    <n v="133"/>
    <x v="2"/>
    <s v="FUNCIONAMIENTO"/>
    <x v="222"/>
    <d v="2022-09-15T00:00:00"/>
    <n v="70871337"/>
    <s v="ELECTRO REDES GLOBAL SAS"/>
    <s v="AB-2300002869"/>
    <n v="3181173"/>
    <m/>
    <m/>
    <m/>
    <m/>
    <m/>
    <m/>
    <m/>
    <m/>
    <n v="4.295834131753265E-2"/>
    <x v="0"/>
    <n v="1"/>
    <n v="68"/>
  </r>
  <r>
    <n v="337"/>
    <s v="0380"/>
    <x v="0"/>
    <d v="2022-06-28T00:00:00"/>
    <x v="6"/>
    <s v="GT0203"/>
    <s v="FR-400-GT-0170-2022"/>
    <s v="N/A"/>
    <s v="Contratar mano de obra y materiales para la calibración, mantenimiento y reparación, de los equipos que soportan y apoyan las actividades diarias del servicio de Telecomunicaciones tales como: Empalmadora de fibra óptica herramientas fusionadora de fibra óptica, instrumento OTDR para prueba de fibra óptica, disponiendo de la mano de obra y repuestos necesarios para ello, de acuerdo a las especificaciones técnicas de los equipos"/>
    <n v="44165109"/>
    <s v="120 DIAS"/>
    <s v="900-IP-0380-2022"/>
    <m/>
    <s v="202204407_x000a_202204408"/>
    <n v="44165109"/>
    <s v="N/A"/>
    <s v="N/A"/>
    <s v="N/A"/>
    <x v="2"/>
    <s v="JULIO GARCIA"/>
    <d v="2022-06-30T00:00:00"/>
    <e v="#VALUE!"/>
    <e v="#VALUE!"/>
    <s v="SI"/>
    <s v="Entregado al area"/>
    <x v="1"/>
    <s v="2 de agosto en evaluacion"/>
    <m/>
    <d v="2022-08-05T00:00:00"/>
    <x v="11"/>
    <m/>
    <n v="38"/>
    <n v="36"/>
    <x v="2"/>
    <s v="FUNCIONAMIENTO"/>
    <x v="223"/>
    <d v="2022-08-19T00:00:00"/>
    <n v="34676048"/>
    <s v="RENTAMETRIC COLOMBIA SAS"/>
    <n v="202208282"/>
    <n v="9489061"/>
    <m/>
    <m/>
    <m/>
    <m/>
    <m/>
    <m/>
    <m/>
    <s v="SUBGERENCIA OPERATIVA"/>
    <n v="0.21485424161412123"/>
    <x v="0"/>
    <n v="1"/>
    <n v="28"/>
  </r>
  <r>
    <n v="338"/>
    <s v="0381"/>
    <x v="6"/>
    <d v="2022-06-28T00:00:00"/>
    <x v="6"/>
    <s v="GTI0021"/>
    <s v="FR-200-GTI-0107-2022"/>
    <s v="N/A"/>
    <s v="Contratar el servicio de soporte reactivación y mantenimiento del Software SAP"/>
    <n v="1440383280"/>
    <s v="31 DE DICIEMBRE 2022"/>
    <s v="900-IPU-0381-2022"/>
    <m/>
    <s v="202202915_x000a_202203525"/>
    <m/>
    <s v="N/A"/>
    <s v="N/A"/>
    <s v="Mayor cuantia"/>
    <x v="0"/>
    <s v="PAOLA BELTRAN"/>
    <d v="2022-06-30T00:00:00"/>
    <n v="78"/>
    <n v="76"/>
    <s v="SI"/>
    <s v="Entregado al area"/>
    <x v="1"/>
    <s v="1 DE AGOSTO EN RECEPCION DE COTIZACIONES. 5 DE AGOSTO PENDIENTE REUNION CON LOS DE SAP PARA CLARAR LAS POLIZAS. ESPERANDO RECEPCION DE OFERTAS."/>
    <m/>
    <d v="2022-08-30T00:00:00"/>
    <x v="1"/>
    <m/>
    <n v="63"/>
    <n v="61"/>
    <x v="5"/>
    <s v="FUNCIONAMIENTO"/>
    <x v="224"/>
    <d v="2022-08-30T00:00:00"/>
    <n v="1440382665"/>
    <s v="SAP COLOMBIA SAS"/>
    <n v="202207980"/>
    <n v="615"/>
    <m/>
    <m/>
    <m/>
    <m/>
    <m/>
    <s v="BOGOTA"/>
    <s v="NACIONAL"/>
    <s v="GTI"/>
    <n v="4.2696968823464819E-7"/>
    <x v="1"/>
    <n v="2"/>
    <n v="63"/>
  </r>
  <r>
    <n v="339"/>
    <s v="0382"/>
    <x v="1"/>
    <d v="2022-06-30T00:00:00"/>
    <x v="6"/>
    <s v="GE0256"/>
    <s v="FR-500-GE-0128-2022"/>
    <s v="N/A"/>
    <s v="Realizar mediciones ambientales de ruido y de campos electromagnéticos en subestaciones de energía y lineas de Subtransmisión a 115 Kv"/>
    <n v="26610066"/>
    <s v="90 DIAS"/>
    <s v="900-IP-0382-2022"/>
    <m/>
    <n v="202202106"/>
    <n v="26610066"/>
    <s v="N/A"/>
    <s v="N/A"/>
    <s v="N/A"/>
    <x v="2"/>
    <s v="DIEGO PATIÑO"/>
    <d v="2022-06-30T00:00:00"/>
    <n v="131"/>
    <n v="131"/>
    <s v="SI"/>
    <s v="Entregado al area"/>
    <x v="1"/>
    <s v="28 DE SEPTIMEBRE EN SOLICITUD DE POLIZAS"/>
    <m/>
    <d v="2022-10-04T00:00:00"/>
    <x v="12"/>
    <n v="96"/>
    <m/>
    <n v="96"/>
    <x v="2"/>
    <s v="OPERACIÓN"/>
    <x v="225"/>
    <d v="2022-09-15T00:00:00"/>
    <n v="25480280"/>
    <s v="HIGIENE OCUPACIONAL Y AMBIENTAL LTDA"/>
    <n v="202208524"/>
    <n v="1129786"/>
    <s v="CALI"/>
    <s v="LOCAL"/>
    <m/>
    <m/>
    <m/>
    <m/>
    <m/>
    <m/>
    <n v="4.2457091237579042E-2"/>
    <x v="0"/>
    <n v="1"/>
    <n v="63"/>
  </r>
  <r>
    <n v="340"/>
    <s v="0383"/>
    <x v="1"/>
    <d v="2022-06-30T00:00:00"/>
    <x v="6"/>
    <s v="GE0202"/>
    <s v="FR-500-GE-0203-2022"/>
    <s v="N/A"/>
    <s v="Suministro de Fuente para Remota de Subestación CDS"/>
    <n v="21763648"/>
    <m/>
    <s v="900-IP-0383-2022"/>
    <s v="IP-"/>
    <n v="202203959"/>
    <m/>
    <s v="N/A"/>
    <s v="N/A"/>
    <s v="N/A"/>
    <x v="2"/>
    <s v="ANA MARIA GIL"/>
    <d v="2022-08-04T00:00:00"/>
    <e v="#VALUE!"/>
    <e v="#VALUE!"/>
    <s v="NO"/>
    <s v="Devuelto"/>
    <x v="2"/>
    <m/>
    <s v="18 de julio en cotizaciones_x000a_2 agosto en solicitud de cotizaciones 4 DE AGOSTO REASIGNADO A ANA MARIA GIL_x000a_28 DE SEPTIEMBRE DEVUELTO AL AREA"/>
    <d v="2022-09-08T00:00:00"/>
    <x v="5"/>
    <s v="sep"/>
    <n v="70"/>
    <n v="35"/>
    <x v="2"/>
    <s v="INVERSION"/>
    <x v="0"/>
    <m/>
    <m/>
    <m/>
    <m/>
    <m/>
    <m/>
    <m/>
    <m/>
    <m/>
    <m/>
    <m/>
    <m/>
    <m/>
    <m/>
    <x v="0"/>
    <m/>
    <m/>
  </r>
  <r>
    <n v="341"/>
    <s v="0384"/>
    <x v="1"/>
    <d v="2022-06-30T00:00:00"/>
    <x v="6"/>
    <s v="GE0205"/>
    <s v="FR-500-GE-0212-2022"/>
    <s v="N/A"/>
    <s v="Suministro de GPS de Subestación"/>
    <n v="66269198"/>
    <m/>
    <s v="900-IP-0384-2022"/>
    <s v="IP-"/>
    <n v="202203958"/>
    <m/>
    <s v="N/A"/>
    <s v="N/A"/>
    <s v="N/A"/>
    <x v="2"/>
    <s v="ANA MARIA GIL"/>
    <d v="2022-08-04T00:00:00"/>
    <e v="#VALUE!"/>
    <e v="#VALUE!"/>
    <m/>
    <s v="Cerrado"/>
    <x v="0"/>
    <d v="2022-12-07T00:00:00"/>
    <s v="18 de julio en cotizaciones_x000a_2 agosto en solicitud de cotizaciones 4 DE AGOSTO EN ELABROACION DE FPA E INVITACION_x000a_28 DE SEPTIEMBRE EN EXPEDICION DE POLIZAS_x000a_31 de octubre en solicitu de polizas_x000a_09-11-2022, en firma de contratista"/>
    <d v="2022-11-09T00:00:00"/>
    <x v="5"/>
    <s v="nov"/>
    <n v="132"/>
    <n v="97"/>
    <x v="2"/>
    <s v="INVERSION"/>
    <x v="0"/>
    <m/>
    <m/>
    <m/>
    <m/>
    <m/>
    <m/>
    <m/>
    <m/>
    <m/>
    <m/>
    <m/>
    <m/>
    <m/>
    <m/>
    <x v="0"/>
    <m/>
    <m/>
  </r>
  <r>
    <n v="342"/>
    <s v="0385"/>
    <x v="1"/>
    <d v="2022-06-30T00:00:00"/>
    <x v="6"/>
    <s v="GE0329"/>
    <s v="FR-500-GE-0213-2022"/>
    <s v="N/A"/>
    <s v="Suministro de Modem Router 4G"/>
    <n v="67851991"/>
    <s v="60 DIAS"/>
    <s v="900-IP-0385-2022"/>
    <m/>
    <n v="202203957"/>
    <m/>
    <s v="N/A"/>
    <s v="N/A"/>
    <s v="N/A"/>
    <x v="2"/>
    <s v="ANA MARIA GIL"/>
    <d v="2022-08-04T00:00:00"/>
    <e v="#VALUE!"/>
    <e v="#VALUE!"/>
    <s v="SI"/>
    <s v="Entregado al area"/>
    <x v="1"/>
    <s v="18 de julio en cotizaciones_x000a_2 agosto en solicitud de cotizaciones 4 DE AGOSTO REASIGNADOS A ANA MARIA GIL SE ENCUENTRA EN ELABORACION DE FPA E INVITACION"/>
    <m/>
    <d v="2022-09-13T00:00:00"/>
    <x v="11"/>
    <m/>
    <n v="75"/>
    <n v="40"/>
    <x v="2"/>
    <s v="INVERSION"/>
    <x v="226"/>
    <d v="2022-09-05T00:00:00"/>
    <n v="64070076"/>
    <s v="POTENCIAS Y TECNOLOGIAS INCORPORADAS SA"/>
    <n v="202208361"/>
    <n v="3781915"/>
    <m/>
    <m/>
    <m/>
    <m/>
    <m/>
    <s v="CALI"/>
    <s v="LOCAL"/>
    <s v="UNIDAD DE OPERACIÓN"/>
    <n v="5.573771593526268E-2"/>
    <x v="0"/>
    <n v="1"/>
    <n v="30"/>
  </r>
  <r>
    <n v="343"/>
    <s v="0386"/>
    <x v="1"/>
    <d v="2022-06-30T00:00:00"/>
    <x v="6"/>
    <s v="GE0328"/>
    <s v="FR-500-GE-0211-2022"/>
    <s v="N/A"/>
    <s v="Suministro de Inversor para RACK de 125 V DC 120 V AC"/>
    <n v="31887240"/>
    <m/>
    <s v="900-IP-0386-2022"/>
    <s v="IP-"/>
    <n v="202203959"/>
    <m/>
    <s v="N/A"/>
    <s v="N/A"/>
    <s v="N/A"/>
    <x v="2"/>
    <s v="ANA MARIA GIL"/>
    <d v="2022-08-04T00:00:00"/>
    <e v="#VALUE!"/>
    <e v="#VALUE!"/>
    <s v="NO"/>
    <s v="Cerrado"/>
    <x v="0"/>
    <m/>
    <s v="18 de julio en cotizaciones_x000a_2 de agosto enr ecepcion de ofertas para el 4 de agosto 4 DE AGOSTO REASIGNADO A ANA MARIA GIL_x000a_24 DE AGOSTO SE CERRO PORQUE LE PROVEEDOR NO APORTO EL DOCUMENTO DE SISTEMA DE SEGURIDAD Y SALUD EN EL TRABAJO."/>
    <d v="2022-08-24T00:00:00"/>
    <x v="5"/>
    <s v="ago"/>
    <n v="55"/>
    <n v="20"/>
    <x v="2"/>
    <s v="INVERSION"/>
    <x v="0"/>
    <m/>
    <m/>
    <m/>
    <m/>
    <m/>
    <m/>
    <m/>
    <m/>
    <m/>
    <m/>
    <m/>
    <m/>
    <m/>
    <m/>
    <x v="0"/>
    <m/>
    <m/>
  </r>
  <r>
    <n v="344"/>
    <s v="0387"/>
    <x v="2"/>
    <d v="2022-07-01T00:00:00"/>
    <x v="7"/>
    <s v="GAA0086_x000a_GAA0087"/>
    <s v="FR-300-GAA-0177-2022"/>
    <s v="N/A"/>
    <s v="Calibración de equipamiento de los Laboratorios de Ensayos y Calibraciones de la UENAA"/>
    <n v="30697842"/>
    <s v="90 DIAS"/>
    <s v="900-IP-0387-2022"/>
    <m/>
    <s v="202202262_x000a_202202458"/>
    <n v="20000000"/>
    <s v="N/A"/>
    <s v="N/A"/>
    <s v="N/A"/>
    <x v="2"/>
    <s v="JULIO GARCIA"/>
    <d v="2022-08-08T00:00:00"/>
    <e v="#VALUE!"/>
    <e v="#VALUE!"/>
    <s v="SI"/>
    <s v="Entregado al area"/>
    <x v="1"/>
    <m/>
    <m/>
    <d v="2022-09-21T00:00:00"/>
    <x v="11"/>
    <m/>
    <n v="82"/>
    <n v="44"/>
    <x v="2"/>
    <s v="FUNCIONAMIENTO"/>
    <x v="227"/>
    <d v="2022-09-14T00:00:00"/>
    <n v="30684578"/>
    <s v="MESURA Y METROLOGIA LTDA"/>
    <n v="202208412"/>
    <n v="13264"/>
    <m/>
    <m/>
    <m/>
    <m/>
    <m/>
    <s v="CALI"/>
    <s v="LOCAL"/>
    <s v="LABORATORIO DE AGUA POTABLE"/>
    <n v="4.3208248970725692E-4"/>
    <x v="0"/>
    <n v="1"/>
    <n v="58"/>
  </r>
  <r>
    <n v="345"/>
    <s v="0388"/>
    <x v="2"/>
    <d v="2022-07-01T00:00:00"/>
    <x v="7"/>
    <s v="GAA0679"/>
    <s v="FR-300-GAA-0178-2022"/>
    <s v="N/A"/>
    <s v="Mantenimiento del sistema HVAC del Laboratorio de Agua Potable"/>
    <n v="69914880"/>
    <s v="90 DIAS"/>
    <s v="900-IP-0388-2022"/>
    <m/>
    <n v="202202234"/>
    <n v="69914880"/>
    <s v="N/A"/>
    <s v="N/A"/>
    <s v="N/A"/>
    <x v="2"/>
    <s v="ANA MARIA GIL"/>
    <d v="2022-08-08T00:00:00"/>
    <e v="#VALUE!"/>
    <e v="#VALUE!"/>
    <s v="SI"/>
    <s v="Entregado al area"/>
    <x v="1"/>
    <m/>
    <m/>
    <d v="2022-09-23T00:00:00"/>
    <x v="11"/>
    <m/>
    <n v="84"/>
    <n v="46"/>
    <x v="2"/>
    <s v="FUNCIONAMIENTO"/>
    <x v="228"/>
    <d v="2022-09-15T00:00:00"/>
    <n v="57330202"/>
    <s v="VLADIMIR ROMERO SERVICIOS DE INGENIERIA SAS"/>
    <m/>
    <n v="12584678"/>
    <m/>
    <m/>
    <m/>
    <m/>
    <m/>
    <s v="CALI"/>
    <s v="LOCAL"/>
    <s v="LABORATORIO DE AGUA POTABLE"/>
    <n v="0.17999999427875726"/>
    <x v="0"/>
    <n v="1"/>
    <n v="30"/>
  </r>
  <r>
    <n v="346"/>
    <s v="0389"/>
    <x v="2"/>
    <d v="2022-07-01T00:00:00"/>
    <x v="7"/>
    <s v="GAA0739"/>
    <s v="FR-300-GAA-0180-2022"/>
    <s v="300-CMA-1892-2022"/>
    <s v="Suministro de Alcalinizante para las Plantas de Tratamiento de Agua Potable de la Unidad de Producción de Agua Potable: Cal Viva"/>
    <n v="110134500"/>
    <m/>
    <s v="900-IP-0389-2022"/>
    <s v="IP-"/>
    <n v="202202688"/>
    <n v="110134500"/>
    <s v="N/A"/>
    <s v="N/A"/>
    <s v="N/A"/>
    <x v="2"/>
    <s v="AYDEE OVALLE"/>
    <d v="2022-07-01T00:00:00"/>
    <e v="#VALUE!"/>
    <e v="#VALUE!"/>
    <s v="NO"/>
    <s v="Entregado al area"/>
    <x v="1"/>
    <m/>
    <s v="18 de julio en elaboracion de la fpa_x000a_2 DE AGOSTO EN EVALUACION DE SUBSANBLES_x000a_ACTA DE TERMINACION ANTICIPADA "/>
    <d v="2022-09-08T00:00:00"/>
    <x v="14"/>
    <s v="sep"/>
    <n v="69"/>
    <n v="69"/>
    <x v="6"/>
    <s v="OPERACIÓN"/>
    <x v="229"/>
    <d v="2022-08-05T00:00:00"/>
    <n v="110134500"/>
    <s v="CALABASTOS S.A.S."/>
    <n v="202207715"/>
    <n v="0"/>
    <m/>
    <m/>
    <m/>
    <m/>
    <m/>
    <m/>
    <m/>
    <m/>
    <n v="0"/>
    <x v="0"/>
    <n v="1"/>
    <n v="22"/>
  </r>
  <r>
    <n v="347"/>
    <s v="0390"/>
    <x v="1"/>
    <d v="2022-07-01T00:00:00"/>
    <x v="7"/>
    <s v="GE0222_x000a_GE0229_x000a_GE0321_x000a_GE0322_x000a_GE0326"/>
    <s v="FR-500-GE-0199-2022"/>
    <s v="N/A"/>
    <s v="Suministro de materiales y elementos de protección eléctrica para ser instalados en redes y subestaciones de energía"/>
    <n v="499985714"/>
    <m/>
    <s v="900-IP-0390-2022"/>
    <s v="IP-"/>
    <n v="202203887"/>
    <m/>
    <s v="N/A"/>
    <s v="N/A"/>
    <s v="N/A"/>
    <x v="2"/>
    <s v="JULIETA ORTIZ"/>
    <d v="2022-07-01T00:00:00"/>
    <e v="#VALUE!"/>
    <e v="#VALUE!"/>
    <s v="NO"/>
    <s v="Devuelto"/>
    <x v="2"/>
    <m/>
    <s v="18 DE JULIO SE DEVOLVIO AL AREA  POR EL BAJO PRSUPUESTO Y EL ALZA DEL DÓLAR"/>
    <d v="2022-07-19T00:00:00"/>
    <x v="5"/>
    <s v="jul"/>
    <n v="18"/>
    <n v="18"/>
    <x v="3"/>
    <s v="FUNCIONAMIENTO_x000a_INVERSION"/>
    <x v="0"/>
    <m/>
    <m/>
    <m/>
    <m/>
    <m/>
    <m/>
    <m/>
    <m/>
    <m/>
    <m/>
    <m/>
    <m/>
    <m/>
    <m/>
    <x v="0"/>
    <m/>
    <m/>
  </r>
  <r>
    <n v="348"/>
    <s v="0391"/>
    <x v="2"/>
    <d v="2022-07-05T00:00:00"/>
    <x v="7"/>
    <s v="GAA0054"/>
    <s v="FR-300-GAA-0176-2022"/>
    <s v="N/A"/>
    <s v="Actualizar el modelo de nivel económico de pérdidas y planificar la fase III de la Gestión de Recuperación de Agua en Macrosectores"/>
    <n v="499608410"/>
    <s v="4 MESES"/>
    <s v="900-IP-0391-2022"/>
    <m/>
    <n v="202203017"/>
    <n v="499608410"/>
    <s v="N/A"/>
    <s v="N/A"/>
    <s v="N/A"/>
    <x v="2"/>
    <s v="LINA ECHAVARRIA"/>
    <d v="2022-07-07T00:00:00"/>
    <n v="71"/>
    <n v="69"/>
    <s v="SI"/>
    <s v="Entregado al area"/>
    <x v="1"/>
    <s v="1 DE AGOSTO EN APROBACION DE POLIZAS"/>
    <m/>
    <d v="2022-08-02T00:00:00"/>
    <x v="1"/>
    <m/>
    <n v="28"/>
    <n v="26"/>
    <x v="2"/>
    <s v="INVERSION"/>
    <x v="230"/>
    <d v="2022-07-21T00:00:00"/>
    <n v="497000000"/>
    <s v="GARZON SALINAS ASOCIADAS SAS"/>
    <n v="202207205"/>
    <n v="2608410"/>
    <m/>
    <m/>
    <m/>
    <m/>
    <m/>
    <s v="CALI"/>
    <s v="LOCAL"/>
    <s v="UNIDAD DE PROSPECTIVA Y DESARROLLO DE NEGOCIOS"/>
    <n v="5.2209089114412625E-3"/>
    <x v="0"/>
    <n v="1"/>
    <n v="20"/>
  </r>
  <r>
    <n v="349"/>
    <s v="0392"/>
    <x v="2"/>
    <d v="2022-07-05T00:00:00"/>
    <x v="7"/>
    <s v="GAA0277"/>
    <s v="FR-300-GAA-0054-2022"/>
    <s v="N/A"/>
    <s v="Compra de cartas graficas circulares para registradores ref 4686 x 100 UND"/>
    <n v="4996810"/>
    <s v="28 de noviembre 2022"/>
    <s v="900-IP-0392-2022"/>
    <m/>
    <n v="202200780"/>
    <n v="4996810"/>
    <s v="N/A"/>
    <s v="N/A"/>
    <s v="N/A"/>
    <x v="2"/>
    <s v="ANA MARIA GIL"/>
    <d v="2022-07-05T00:00:00"/>
    <e v="#VALUE!"/>
    <e v="#VALUE!"/>
    <s v="SI"/>
    <s v="Entregado al area"/>
    <x v="1"/>
    <s v="2 DE AGOSTO EN EVALUACION DE LOS SUBSANABLES 4 DE AGOSTO EN ACEPTACION DE LA OFERTA"/>
    <s v="ERROR EN EL NUMERO DE LA IMPUTACION PRESUPUESTAL, ES NECESARIO HACER EL OTRO SI PARA SACAR EL RP"/>
    <d v="2022-09-13T00:00:00"/>
    <x v="11"/>
    <m/>
    <n v="70"/>
    <n v="70"/>
    <x v="2"/>
    <s v="FUNCIONAMIENTO"/>
    <x v="231"/>
    <d v="2022-08-02T00:00:00"/>
    <n v="4996810"/>
    <s v="QUIMPORT LIMITADA"/>
    <n v="202207741"/>
    <n v="0"/>
    <m/>
    <m/>
    <m/>
    <m/>
    <m/>
    <s v="CALI"/>
    <s v="LOCAL"/>
    <s v="UNIDAD DE DISTRIBUCIÓN"/>
    <n v="0"/>
    <x v="0"/>
    <n v="1"/>
    <n v="18"/>
  </r>
  <r>
    <n v="350"/>
    <s v="0393"/>
    <x v="2"/>
    <d v="2022-07-05T00:00:00"/>
    <x v="7"/>
    <s v="GAA0690_x000a_GAA0691"/>
    <s v="FR-300-GAA-0181-2022"/>
    <s v="N/A"/>
    <s v="Suministro de reactivos y materiales para realizar ensayos microbiológicos en los Laboratorios de Ensayos de la UENAA"/>
    <n v="117518450"/>
    <s v="28 DE NOVIEMBRE 2022"/>
    <s v="900-IP-0396-2022"/>
    <m/>
    <s v="202202247_x000a_202202249"/>
    <n v="117518450"/>
    <s v="N/A"/>
    <s v="N/A"/>
    <s v="N/A"/>
    <x v="2"/>
    <s v="JULIO GARCIA"/>
    <d v="2022-08-12T00:00:00"/>
    <e v="#VALUE!"/>
    <e v="#VALUE!"/>
    <s v="SI"/>
    <s v="Entregado al area"/>
    <x v="1"/>
    <s v="1 DE AGOSTO EN ELABORACION DE FPA E INVITACION, SE DEMORO PORQUE TUVIERON QUE CAMBIAR EL CDP POR INCREMENTO DEL VALOR DEL DOLAR._x000a_12 de agosto reasignado a julio ernesto porque Adalberto sale a vacaciones"/>
    <s v="SE SOLICITO A VIAGNERY LA FIRMA DE LA FICHA DE RQUERIMIENTO PARA AVANZAR Y QUE GESTIONE EL FORMULARIO DE PRECIOS Y CANTIDADES."/>
    <d v="2022-09-09T00:00:00"/>
    <x v="11"/>
    <m/>
    <n v="66"/>
    <n v="28"/>
    <x v="1"/>
    <s v="FUNCIONAMIENTO"/>
    <x v="232"/>
    <d v="2022-08-31T00:00:00"/>
    <n v="117518450"/>
    <s v="AQUALAB SAS"/>
    <n v="202208247"/>
    <n v="0"/>
    <m/>
    <m/>
    <m/>
    <m/>
    <m/>
    <s v="BOGOTA"/>
    <s v="NACIONAL"/>
    <s v="LABORATORIO DE AGUA POTABLE"/>
    <n v="0"/>
    <x v="0"/>
    <n v="1"/>
    <n v="48"/>
  </r>
  <r>
    <n v="351"/>
    <s v="0394"/>
    <x v="2"/>
    <d v="2022-07-05T00:00:00"/>
    <x v="7"/>
    <s v="GAA0090"/>
    <s v="FR-300-GAA-0182-2022"/>
    <s v="N/A"/>
    <s v="Realizar ensayos de sustancias de interés sanitario a muestras de agua cruda, tratada provenientes de las Plantas de Potabilización y de la red de distribución de EMCALI EICE ESP"/>
    <n v="187037566"/>
    <s v="90 DIAS"/>
    <s v="900-IP-0394-2022"/>
    <s v="IP-"/>
    <n v="202202471"/>
    <n v="187037566"/>
    <s v="N/A"/>
    <s v="N/A"/>
    <s v="N/A"/>
    <x v="2"/>
    <s v="ANA MARIA GIL"/>
    <d v="2022-08-04T00:00:00"/>
    <e v="#VALUE!"/>
    <e v="#VALUE!"/>
    <s v="SI"/>
    <s v="Cerrado"/>
    <x v="0"/>
    <d v="2022-12-30T00:00:00"/>
    <s v="18 de julio en elaboracion de la fpa e invitacion_x000a_2 de agosto encotizaciones nuevamente porque el ganador anterior desistio  4 DE AGOSTO REASIGNADO A ANA MARIA GIL _x000a_30-12-2022, acta de terminación anticipara del proceso 900-IP-0394-2022, que el área nunca hizo acta de inicio,  desde el mismo dia que salió el acta de terminación anticipada  firmada por el Gerente Dr. Carlos Olmedo (28 de diciembre de 2022), se envió al contratista y a la fecha no ha llegado el documento firmado por parte de ellos, he hablado por teléfono con el comercial y me dice que aun no esta lista que paso por varios filtros antes que firme el representante legal. A raíz que se debe liberar el saldo, hable con registro y ellos me dicen que un jefe debe enviar con correo a registro para poder haciendo la solicitud, por lo anterior envió el Registro presupuestal y el acta de terminación anticipada firmada por el Gerente de la GAE. Quedo atenta._x000a_28 DE SEPTIEMBRE EN OTRO SI PARA AMPLAICION DEL PLAZO"/>
    <d v="2022-12-28T00:00:00"/>
    <x v="5"/>
    <s v="dic"/>
    <n v="176"/>
    <n v="146"/>
    <x v="2"/>
    <s v="FUNCIONAMIENTO"/>
    <x v="233"/>
    <d v="2022-09-15T00:00:00"/>
    <n v="185028136"/>
    <s v="SGS COLOMBIA SAS"/>
    <n v="202208528"/>
    <n v="2009430"/>
    <m/>
    <s v="BOGOTA"/>
    <s v="NACIONAL"/>
    <m/>
    <m/>
    <m/>
    <m/>
    <m/>
    <m/>
    <x v="0"/>
    <m/>
    <m/>
  </r>
  <r>
    <n v="352"/>
    <s v="0395"/>
    <x v="2"/>
    <d v="2022-07-05T00:00:00"/>
    <x v="7"/>
    <s v="GAA0688_x000a_GAA0681"/>
    <s v="FR-300-GAA-0183-2022"/>
    <s v="N/A"/>
    <s v="Realizar mantenimiento a las cabinas y sistemas de extracción de los laboratorios de ensayos de la UENAA"/>
    <n v="22999999"/>
    <s v="90 DIAS"/>
    <s v="900-IP-395-2022"/>
    <m/>
    <s v="202202244_x000a_202202236"/>
    <n v="22999999"/>
    <s v="N/A"/>
    <s v="N/A"/>
    <s v="N/A"/>
    <x v="2"/>
    <s v="ESTEFANIA SANCHEZ"/>
    <d v="2022-08-08T00:00:00"/>
    <n v="126"/>
    <n v="92"/>
    <s v="SI"/>
    <s v="Entregado al area"/>
    <x v="1"/>
    <s v="28 DE SEPTIEMBRE EN SOLCIITUD DE POLIZAS"/>
    <m/>
    <d v="2022-10-04T00:00:00"/>
    <x v="12"/>
    <n v="91"/>
    <m/>
    <n v="57"/>
    <x v="2"/>
    <s v="FUNCIONAMIENTO"/>
    <x v="234"/>
    <d v="2022-09-15T00:00:00"/>
    <n v="22999999"/>
    <s v="AIRCO SAS"/>
    <n v="202208492"/>
    <n v="0"/>
    <s v="CALI"/>
    <s v="LOCAL"/>
    <m/>
    <m/>
    <m/>
    <m/>
    <m/>
    <m/>
    <n v="0"/>
    <x v="0"/>
    <n v="1"/>
    <n v="65"/>
  </r>
  <r>
    <n v="353"/>
    <s v="0396"/>
    <x v="2"/>
    <d v="2022-07-05T00:00:00"/>
    <x v="7"/>
    <s v="GAA0689"/>
    <s v="FR-300-GAA-0184-2022"/>
    <s v="N/A"/>
    <s v="Realizar mantenimiento al sistema de control de acceso del laboratorio de aguas residuales."/>
    <n v="6997200"/>
    <m/>
    <s v="900-IP-0393-2022"/>
    <s v="IP-"/>
    <n v="202202245"/>
    <m/>
    <s v="N/A"/>
    <s v="N/A"/>
    <s v="N/A"/>
    <x v="2"/>
    <s v="JESSICA ROJAS"/>
    <d v="2022-08-08T00:00:00"/>
    <e v="#VALUE!"/>
    <e v="#VALUE!"/>
    <m/>
    <s v="Entregado al area"/>
    <x v="1"/>
    <d v="2022-12-26T00:00:00"/>
    <s v="28 DE SEPTIEMBRE EN EVALUACION"/>
    <d v="2022-12-23T00:00:00"/>
    <x v="14"/>
    <s v="dic"/>
    <n v="171"/>
    <n v="137"/>
    <x v="2"/>
    <s v="FUNCIONAMIENTO"/>
    <x v="235"/>
    <d v="2022-12-19T00:00:00"/>
    <n v="6997200"/>
    <s v="SERVICIOS INDUSTRIALES Y DE TECNOLOGIA SAS"/>
    <s v="PM-2100000114"/>
    <n v="0"/>
    <m/>
    <m/>
    <m/>
    <m/>
    <m/>
    <m/>
    <m/>
    <m/>
    <n v="0"/>
    <x v="0"/>
    <n v="1"/>
    <n v="96"/>
  </r>
  <r>
    <n v="354"/>
    <s v="0397"/>
    <x v="2"/>
    <d v="2022-07-05T00:00:00"/>
    <x v="7"/>
    <s v="GAA0060"/>
    <s v="FR-300-GAA-0185-2022"/>
    <s v="N/A"/>
    <s v="Realizar el mantenimiento a equipos volumétricos y de apoyo del laboratorio aguas residuales"/>
    <n v="24916996"/>
    <s v="90 DIAS"/>
    <s v="900-IP-0397-2022"/>
    <m/>
    <n v="202202238"/>
    <n v="48136532"/>
    <s v="N/A"/>
    <s v="N/A"/>
    <s v="N/A"/>
    <x v="2"/>
    <s v="IVAN ALDANA"/>
    <d v="2022-08-08T00:00:00"/>
    <e v="#VALUE!"/>
    <e v="#VALUE!"/>
    <s v="SI"/>
    <s v="Entregado al area"/>
    <x v="1"/>
    <s v="8 de agosto reasignado a ivan aldana, lo tenia mario"/>
    <m/>
    <d v="2022-09-19T00:00:00"/>
    <x v="11"/>
    <m/>
    <n v="76"/>
    <n v="42"/>
    <x v="2"/>
    <s v="FUNCIONAMIENTO"/>
    <x v="236"/>
    <d v="2022-09-09T00:00:00"/>
    <n v="24916996"/>
    <s v="SERCO  SERVICIO Y SUMINISTRO QUIMICOS LTDA"/>
    <m/>
    <n v="0"/>
    <m/>
    <m/>
    <m/>
    <m/>
    <m/>
    <s v="BOGOTA"/>
    <s v="NACIONAL"/>
    <s v="LABORATORIO DE AGUAS RESIDUALES"/>
    <n v="0"/>
    <x v="0"/>
    <n v="1"/>
    <n v="54"/>
  </r>
  <r>
    <n v="355"/>
    <s v="0398"/>
    <x v="5"/>
    <d v="2022-07-05T00:00:00"/>
    <x v="7"/>
    <s v="GHA0245"/>
    <s v="FR-800-GHA-0161-2022"/>
    <s v="N/A"/>
    <s v="Adquirir, instalar, configurar, integrar y poner en marcha el sistema de Circuito Cerrado de Televisión CCTV en la Subestación Melendez de EMCALI EICE ESP"/>
    <n v="349318315"/>
    <s v="28 DE NOVIEMBRE 2022"/>
    <s v="900-IP-0398-2022"/>
    <m/>
    <n v="202201121"/>
    <m/>
    <s v="N/A"/>
    <s v="N/A"/>
    <s v="N/A"/>
    <x v="2"/>
    <s v="LEIDY FRANCO"/>
    <d v="2022-07-08T00:00:00"/>
    <n v="71"/>
    <n v="68"/>
    <s v="SI"/>
    <s v="Entregado al area"/>
    <x v="1"/>
    <s v="3 DE AGOSTO EN EVALUACION_x000a_10 de agosto en expedicion de polizas"/>
    <m/>
    <d v="2022-08-18T00:00:00"/>
    <x v="1"/>
    <m/>
    <n v="44"/>
    <n v="41"/>
    <x v="2"/>
    <s v="FUNCIONAMIENTO"/>
    <x v="237"/>
    <d v="2022-08-09T00:00:00"/>
    <n v="346933710"/>
    <s v="SPECTRA INGENIERIA SAS"/>
    <n v="202207726"/>
    <n v="2384605"/>
    <m/>
    <m/>
    <m/>
    <m/>
    <m/>
    <s v="CALI"/>
    <s v="LOCAL"/>
    <s v="UNIDAD SEGURIDAD FISICA Y ELECTRONICA"/>
    <n v="6.8264528299926104E-3"/>
    <x v="1"/>
    <n v="1"/>
    <n v="32"/>
  </r>
  <r>
    <n v="356"/>
    <s v="0399"/>
    <x v="5"/>
    <d v="2022-07-06T00:00:00"/>
    <x v="7"/>
    <s v="GHA0070"/>
    <s v="FR-800-163-2022"/>
    <s v="N/A"/>
    <s v="compra de papel fotocopia blanco láser tamaño carta y oficio de 75gramos con logo de EMCALI y sin logo "/>
    <n v="211328054"/>
    <s v="28 DE NOVIEMBRE 2022"/>
    <s v="900-IP-0399-2022"/>
    <m/>
    <n v="202203488"/>
    <m/>
    <s v="N/A"/>
    <s v="N/A"/>
    <s v="N/A"/>
    <x v="2"/>
    <s v="LINA ECHAVARRIA"/>
    <d v="2022-07-19T00:00:00"/>
    <n v="70"/>
    <n v="57"/>
    <s v="SI"/>
    <s v="Entregado al area"/>
    <x v="1"/>
    <s v="1 DE AGOSTO EN RECEPCION DE OFERTAS_x000a_18 de agosto en recepcion de ofertas"/>
    <m/>
    <d v="2022-08-23T00:00:00"/>
    <x v="1"/>
    <m/>
    <n v="48"/>
    <n v="35"/>
    <x v="2"/>
    <s v="FUNCIONAMIENTO"/>
    <x v="238"/>
    <d v="2022-08-16T00:00:00"/>
    <n v="211328054"/>
    <s v="DISPAPELES SAS"/>
    <n v="202207862"/>
    <n v="0"/>
    <m/>
    <m/>
    <m/>
    <m/>
    <m/>
    <s v="CALI"/>
    <s v="LOCAL"/>
    <s v="UNIDAD DE GESTIÓN ADMINISTRATIVA"/>
    <n v="0"/>
    <x v="1"/>
    <n v="1"/>
    <n v="34"/>
  </r>
  <r>
    <n v="357"/>
    <s v="0400"/>
    <x v="2"/>
    <d v="2022-07-06T00:00:00"/>
    <x v="7"/>
    <s v="GAA0747"/>
    <s v="FR-300-GAA-0187-2022"/>
    <s v="N/A"/>
    <s v="Suministro de rejillas para sumideros en polimero de 8 huecos"/>
    <n v="119114240"/>
    <s v="28 DE NOVIEMBRE 2022"/>
    <s v="900-IP-0400-2022"/>
    <m/>
    <n v="202201931"/>
    <n v="119537500"/>
    <s v="N/A"/>
    <s v="N/A"/>
    <s v="N/A"/>
    <x v="2"/>
    <s v="JUAN DAVID GOMEZ"/>
    <d v="2022-07-08T00:00:00"/>
    <e v="#VALUE!"/>
    <e v="#VALUE!"/>
    <s v="SI"/>
    <s v="Entregado al area"/>
    <x v="1"/>
    <s v="1 DE AGOSTO EN ELABORACION DE FPA E INVITACION. 5 DE AGOSTO EN REVISION DE FPA E INVITACION."/>
    <m/>
    <d v="2022-09-20T00:00:00"/>
    <x v="11"/>
    <m/>
    <n v="76"/>
    <n v="74"/>
    <x v="2"/>
    <s v="FUNCIONAMIENTO"/>
    <x v="239"/>
    <d v="2022-09-06T00:00:00"/>
    <n v="119114240"/>
    <s v="PLASTYCONS SAS"/>
    <n v="202208343"/>
    <n v="0"/>
    <m/>
    <m/>
    <m/>
    <m/>
    <m/>
    <s v="CALI"/>
    <s v="LOCAL"/>
    <s v="ACUEDUCTO Y ALCANTARILLADO "/>
    <n v="0"/>
    <x v="0"/>
    <n v="1"/>
    <n v="41"/>
  </r>
  <r>
    <n v="358"/>
    <s v="0401"/>
    <x v="2"/>
    <d v="2022-07-06T00:00:00"/>
    <x v="7"/>
    <s v="GAA0702_x000a_GAA0701"/>
    <s v="FR-300-GAA-0186-2022"/>
    <s v="N/A"/>
    <s v="Calificación y/o validación del equipamiento de los laboratorios de los ensayos de UENAA"/>
    <n v="22601670"/>
    <s v="90 DIAS"/>
    <s v="900-IP-0401-2022"/>
    <m/>
    <s v="202202459"/>
    <n v="22601670"/>
    <s v="N/A"/>
    <s v="N/A"/>
    <s v="N/A"/>
    <x v="2"/>
    <s v="ADALBERTO VALENCIA"/>
    <d v="2022-08-08T00:00:00"/>
    <e v="#VALUE!"/>
    <e v="#VALUE!"/>
    <s v="SI"/>
    <s v="Entregado al area"/>
    <x v="1"/>
    <m/>
    <m/>
    <d v="2022-09-20T00:00:00"/>
    <x v="11"/>
    <m/>
    <n v="76"/>
    <n v="43"/>
    <x v="2"/>
    <s v="FUNCIONAMIENTO"/>
    <x v="240"/>
    <d v="2022-09-14T00:00:00"/>
    <n v="22601670"/>
    <s v="FABIAN ANDRES ARAGON LOPEZ"/>
    <n v="202208424"/>
    <n v="0"/>
    <m/>
    <m/>
    <m/>
    <m/>
    <m/>
    <s v="CALI"/>
    <s v="LOCAL"/>
    <s v="ACUEDUCTO Y ALCANTARILLADO "/>
    <n v="0"/>
    <x v="0"/>
    <n v="1"/>
    <n v="51"/>
  </r>
  <r>
    <n v="359"/>
    <s v="0402"/>
    <x v="2"/>
    <d v="2022-07-06T00:00:00"/>
    <x v="7"/>
    <s v="GAA0240"/>
    <s v="FR-300-GAA-0179-2022"/>
    <s v="N/A"/>
    <s v="Realizar la fabricación y suministro de un carro tanque o camion cisterna para el transporte de cloro liquido de la planta de potabilización puerto mallarino "/>
    <n v="445655000"/>
    <m/>
    <s v="900-IP-0402-2022"/>
    <s v="IP-"/>
    <s v="202202967"/>
    <m/>
    <s v="N/A"/>
    <s v="N/A"/>
    <s v="N/A"/>
    <x v="2"/>
    <s v="LINA ECHAVARRIA"/>
    <d v="2022-07-19T00:00:00"/>
    <e v="#VALUE!"/>
    <e v="#VALUE!"/>
    <s v="NO"/>
    <s v="Devuelto"/>
    <x v="2"/>
    <m/>
    <s v="19 de julio re asignado a leidy franco_x000a_1 DE AGOSTO VUELVE A LINA ECHAVARRIA"/>
    <d v="2022-08-01T00:00:00"/>
    <x v="5"/>
    <s v="ago"/>
    <n v="26"/>
    <n v="13"/>
    <x v="2"/>
    <s v="INVERSION"/>
    <x v="0"/>
    <m/>
    <m/>
    <m/>
    <m/>
    <m/>
    <m/>
    <m/>
    <m/>
    <m/>
    <m/>
    <m/>
    <m/>
    <m/>
    <m/>
    <x v="0"/>
    <m/>
    <m/>
  </r>
  <r>
    <n v="360"/>
    <s v="0403"/>
    <x v="5"/>
    <d v="2022-07-06T00:00:00"/>
    <x v="7"/>
    <s v="GHA0050_x000a_GHA0051"/>
    <s v="FR-800-GAGHA-162-2022"/>
    <s v="N/A"/>
    <s v="Suministrar elementos de proteccion personal para las diferentes actividades realizadas por los servidores públicos de EMCALI EICE ESP"/>
    <n v="1155586097"/>
    <m/>
    <s v="900-IPU-0403-2022"/>
    <s v="IPU"/>
    <s v="202202880"/>
    <m/>
    <s v="N/A"/>
    <s v="N/A"/>
    <s v="N/A"/>
    <x v="0"/>
    <s v="LINA ECHAVARRIA"/>
    <d v="2022-07-19T00:00:00"/>
    <e v="#VALUE!"/>
    <e v="#VALUE!"/>
    <m/>
    <s v="Entregado al area"/>
    <x v="1"/>
    <d v="2022-11-30T00:00:00"/>
    <s v="1 DE AGOSTO EN ELABORACION DE LA CC_x000a_3 de agosto para revision de la fpa por parte de silvia_x000a_18 de agosto en recepcion de ofertas_x000a_28 DE SEPTIEMBRE EN EVALUACION SOBRE 1"/>
    <d v="2022-12-05T00:00:00"/>
    <x v="14"/>
    <s v="dic"/>
    <n v="152"/>
    <n v="139"/>
    <x v="2"/>
    <s v="FUNCIONAMIENTO"/>
    <x v="241"/>
    <d v="2022-11-29T00:00:00"/>
    <n v="887895578"/>
    <s v="SURAMERICANA DE GUANTES SAS"/>
    <s v="AB2300002952"/>
    <n v="267690519"/>
    <m/>
    <m/>
    <m/>
    <m/>
    <m/>
    <m/>
    <m/>
    <m/>
    <n v="0.23164913431802911"/>
    <x v="1"/>
    <n v="2"/>
    <n v="152"/>
  </r>
  <r>
    <n v="361"/>
    <s v="0404"/>
    <x v="2"/>
    <d v="2022-07-07T00:00:00"/>
    <x v="7"/>
    <s v="GAA0657"/>
    <s v="FR-300-GAA-0092-2022"/>
    <s v="N/A"/>
    <s v="Consultoria para la formulación del plan de gestión del plan de manejo para vertimientos (PGRMV) de la planta de tratamiento de aguas residuales cañaveralejo - PTAR-C de EMCALI EICE ESP"/>
    <n v="880000000"/>
    <m/>
    <s v="900-IP-0404-2022"/>
    <m/>
    <s v="202202407"/>
    <m/>
    <s v="N/A"/>
    <s v="N/A"/>
    <s v="N/A"/>
    <x v="2"/>
    <s v="PAOLA BELTRAN"/>
    <d v="2022-08-03T00:00:00"/>
    <e v="#VALUE!"/>
    <e v="#VALUE!"/>
    <m/>
    <s v="Solicitud de Polizas y Rp"/>
    <x v="1"/>
    <s v="18 de julio en solicitud de conceptos_x000a_2 de agosto se va a reasignar el proceso A OTRO GESTOR DE AGOSTO ASIGNADO A PAOLA Y ESPERANDO AJUSTES DE LAS ESPECIFICACIONES TECNICAS Y FR_x000a_28 DE SEPTIEMBRE SOLICITUD DE POLIZAS"/>
    <m/>
    <d v="2022-09-02T00:00:00"/>
    <x v="12"/>
    <m/>
    <n v="57"/>
    <n v="30"/>
    <x v="5"/>
    <s v="FUNCIONAMIENTO"/>
    <x v="242"/>
    <d v="2022-09-14T00:00:00"/>
    <n v="879780000"/>
    <s v="FAMINDUSTRIAL ASESORES AMBIENTALES SAS"/>
    <m/>
    <n v="220000"/>
    <m/>
    <m/>
    <m/>
    <m/>
    <m/>
    <m/>
    <m/>
    <s v="ACUEDUCTO Y ALCANTARILLADO "/>
    <n v="2.5000000000000001E-4"/>
    <x v="0"/>
    <n v="1"/>
    <n v="41"/>
  </r>
  <r>
    <n v="362"/>
    <s v="0405"/>
    <x v="5"/>
    <d v="2022-07-07T00:00:00"/>
    <x v="7"/>
    <s v="GHA0274"/>
    <s v="FR-800-GHA-0164-2022"/>
    <s v="N/A"/>
    <s v="Contrato para realizar las actividades necesarias para llevar a cabo las adecuaciones locativas y mantenimientos preventivos y correctivos en la Gerencia de Unidad Estratégica de Negocio de Tecnología de la Información y Telecomunicaciones - Impermeabilización de cubiertas, losas y adecuaciones locativas Central Telefonica Limonar en la Unidad Administrativa, nodo del piso 3 y en las telefonicas Decepaz área de bastidor y Tequendama piso 2 cuarto de manejadoras  "/>
    <n v="420000000"/>
    <m/>
    <s v="N/A"/>
    <m/>
    <n v="202204127"/>
    <m/>
    <s v="N/A"/>
    <s v="N/A"/>
    <s v="N/A"/>
    <x v="1"/>
    <s v="ESTEFANIA SANCHEZ"/>
    <d v="2022-07-08T00:00:00"/>
    <n v="69"/>
    <n v="68"/>
    <s v="SI"/>
    <s v="Entregado al area"/>
    <x v="1"/>
    <s v="2 de agosto pata numeracion de la aceptacion"/>
    <m/>
    <d v="2022-08-11T00:00:00"/>
    <x v="1"/>
    <m/>
    <n v="35"/>
    <n v="34"/>
    <x v="0"/>
    <s v="FUNCIONAMIENTO"/>
    <x v="243"/>
    <d v="2022-08-04T00:00:00"/>
    <n v="398896579"/>
    <s v="GUSTAVO ADOLFO TORRES DUARTE"/>
    <n v="202207674"/>
    <n v="21103421"/>
    <m/>
    <m/>
    <m/>
    <m/>
    <m/>
    <m/>
    <m/>
    <s v="UNIDAD DE GESTIÓN ADMINISTRATIVA"/>
    <n v="5.0246240476190474E-2"/>
    <x v="1"/>
    <n v="0"/>
    <n v="35"/>
  </r>
  <r>
    <n v="363"/>
    <s v="0406"/>
    <x v="5"/>
    <d v="2022-07-08T00:00:00"/>
    <x v="7"/>
    <s v="GAA0750"/>
    <s v="FR-300-GAA-0075-2022"/>
    <s v="N/A"/>
    <s v="Suministro de lubricantes para todas las estaciones de bombeo de aguas lluvias y/o residuales"/>
    <n v="52771303"/>
    <m/>
    <s v="900-IP-0406-2022"/>
    <s v="IP-"/>
    <n v="202201835"/>
    <m/>
    <s v="N/A"/>
    <s v="N/A"/>
    <s v="N/A"/>
    <x v="2"/>
    <s v="JULIO GARCIA"/>
    <d v="2022-07-12T00:00:00"/>
    <e v="#VALUE!"/>
    <e v="#VALUE!"/>
    <s v="NO"/>
    <s v="Devuelto"/>
    <x v="2"/>
    <m/>
    <s v="2 de agosto revision de invitacion y fpa"/>
    <d v="2022-08-11T00:00:00"/>
    <x v="5"/>
    <s v="ago"/>
    <n v="34"/>
    <n v="30"/>
    <x v="3"/>
    <s v="FUNCIONAMIENTO"/>
    <x v="0"/>
    <m/>
    <m/>
    <m/>
    <m/>
    <m/>
    <m/>
    <m/>
    <m/>
    <m/>
    <m/>
    <m/>
    <m/>
    <m/>
    <m/>
    <x v="1"/>
    <m/>
    <m/>
  </r>
  <r>
    <n v="364"/>
    <s v="0407"/>
    <x v="3"/>
    <d v="2022-07-08T00:00:00"/>
    <x v="7"/>
    <s v="GT0197"/>
    <s v="FR-400-GT-0168-2022"/>
    <s v="N/A"/>
    <s v="Suministro de cajas de distribución óptica para redes FTTH, requeridas para garantizar los servicios prestados por la GUENTIC. De acuerdo al formulario de cantidades y precios y a los requisitos técnicos"/>
    <n v="224621449"/>
    <m/>
    <s v="900-IP-0407-2022"/>
    <s v="IP-"/>
    <s v="202202446_x000a_202202438"/>
    <m/>
    <s v="N/A"/>
    <s v="N/A"/>
    <s v="N/A"/>
    <x v="2"/>
    <s v="JULIO GARCIA"/>
    <d v="2022-07-12T00:00:00"/>
    <e v="#VALUE!"/>
    <e v="#VALUE!"/>
    <s v="NO"/>
    <s v="Devuelto"/>
    <x v="2"/>
    <d v="2022-11-12T00:00:00"/>
    <s v="2 de agosto en cotizaciones Pendiente firma desde el 8 de noviembre de 2022 por parte del Gerente GAE (E ) para devolución del proceso al área_x000a_29 DE SEPTIEMBRE SE DEVOLVERA AL AREA_x000a_Pendiente firma desde el 8 de noviembre de 2022 por parte del Gerente GAE (E ) para devolución del proceso al área"/>
    <d v="2022-11-08T00:00:00"/>
    <x v="5"/>
    <s v="nov"/>
    <n v="123"/>
    <n v="119"/>
    <x v="3"/>
    <s v="FUNCIONAMIENTO"/>
    <x v="0"/>
    <m/>
    <m/>
    <m/>
    <m/>
    <m/>
    <m/>
    <m/>
    <m/>
    <m/>
    <m/>
    <m/>
    <m/>
    <m/>
    <m/>
    <x v="1"/>
    <m/>
    <m/>
  </r>
  <r>
    <n v="365"/>
    <s v="0408"/>
    <x v="0"/>
    <d v="2022-07-08T00:00:00"/>
    <x v="7"/>
    <s v="GT0234"/>
    <s v="FR-400-GT-0186-2022"/>
    <s v="N/A"/>
    <s v="Suministro de 2.000 ONT´s y 6 tarjetas para completar la OLT existente, marca Huawei, de Parcelaciones con el fin de contar con disponibilidad de puertos para atender el desarrollo de redes FTTH en el sector de Buitrera dentro del Proyecto de 160.000 casa pasadas (HHPP) que permitirá comercializar los productos del portafolio de servicios de la UENTIC de EMCALI."/>
    <n v="496515600"/>
    <s v="30 DIAS"/>
    <s v="900-IP-0408-2022"/>
    <m/>
    <n v="202203853"/>
    <n v="500000000"/>
    <s v="N/A"/>
    <s v="N/A"/>
    <s v="N/A"/>
    <x v="2"/>
    <s v="LINA ECHAVARRIA"/>
    <d v="2022-07-22T00:00:00"/>
    <e v="#VALUE!"/>
    <e v="#VALUE!"/>
    <s v="SI"/>
    <s v="Entregado al area"/>
    <x v="1"/>
    <s v="22 DE JULIO REASIGNADO A LINA ECHAVARRIA"/>
    <m/>
    <d v="2022-09-22T00:00:00"/>
    <x v="11"/>
    <m/>
    <n v="76"/>
    <n v="62"/>
    <x v="1"/>
    <s v="INVERSION"/>
    <x v="244"/>
    <d v="2022-09-15T00:00:00"/>
    <n v="496372800"/>
    <s v="LATIC SAS"/>
    <n v="202208535"/>
    <n v="142800"/>
    <m/>
    <m/>
    <m/>
    <m/>
    <m/>
    <s v="BOGOTA"/>
    <s v="NACIONAL"/>
    <s v="UNIDAD DE PROSPECTIVA Y DESARROLLO DE NEGOCIOS"/>
    <n v="2.8760425654299681E-4"/>
    <x v="0"/>
    <n v="1"/>
    <n v="54"/>
  </r>
  <r>
    <n v="366"/>
    <s v="0409"/>
    <x v="1"/>
    <d v="2022-07-11T00:00:00"/>
    <x v="7"/>
    <s v="GE0337"/>
    <s v="FR-500-GE-0190-2022"/>
    <s v="N/A"/>
    <s v="Mantenimiento general de transformadores de potencia de las Subestaciones de Energía"/>
    <n v="535500000"/>
    <s v="120 DIAS"/>
    <s v="900-IP-0409-2022"/>
    <m/>
    <n v="202203018"/>
    <n v="535500000"/>
    <s v="N/A"/>
    <s v="N/A"/>
    <s v="N/A"/>
    <x v="2"/>
    <s v="JULIO GARCIA"/>
    <d v="2022-07-11T00:00:00"/>
    <n v="-44753"/>
    <n v="-44753"/>
    <s v="SI"/>
    <s v="Entregado al area"/>
    <x v="1"/>
    <m/>
    <m/>
    <d v="2022-07-26T00:00:00"/>
    <x v="10"/>
    <m/>
    <n v="15"/>
    <n v="15"/>
    <x v="2"/>
    <s v="FUNCIONAMIENTO"/>
    <x v="245"/>
    <d v="2022-07-19T00:00:00"/>
    <n v="474686280"/>
    <s v="CONFECCIONES ELECTRICAS SAS EN REORGANIZACION"/>
    <m/>
    <n v="60813720"/>
    <m/>
    <m/>
    <m/>
    <m/>
    <m/>
    <m/>
    <m/>
    <s v="UNIDAD DE MANTENIMIENTO"/>
    <n v="0.11356436974789916"/>
    <x v="0"/>
    <n v="1"/>
    <n v="11"/>
  </r>
  <r>
    <n v="367"/>
    <s v="0410"/>
    <x v="0"/>
    <d v="2022-07-12T00:00:00"/>
    <x v="7"/>
    <s v="GT0233"/>
    <s v="FR-400-GT-0190-2022"/>
    <s v="N/A"/>
    <s v="Suministro de cubiertas de empalme, materiales de reentradas y accesorios para empalmería de cables multipares con protección de barrera contra humedad (BCH) de uso en la red externa en la operación y mantenimiento de la GUENTIC."/>
    <n v="240328116"/>
    <s v="28 DE NOVIEMBRE DE 2022"/>
    <s v="900-IP-0410-2022"/>
    <m/>
    <n v="202202447"/>
    <m/>
    <s v="N/A"/>
    <s v="N/A"/>
    <s v="N/A"/>
    <x v="2"/>
    <s v="JULIETA ORTIZ"/>
    <d v="2022-07-19T00:00:00"/>
    <e v="#VALUE!"/>
    <e v="#VALUE!"/>
    <s v="SI"/>
    <s v="Entregado al area"/>
    <x v="1"/>
    <s v="26 DE ULIO SE REASIGNA PROCESO A JULIETA, ANTES LO TENIA JULIO GARCIA_x000a_2 DE AGOSTO EN COTIZACIONES, nuevamente no cotizo ningun proveedor"/>
    <s v="Nuevamente no cotizo ningun proveedor, se solicito a Harold Ibarra datos de proveedores. Pendiente en categorizar bien el procesos. Se invitara a Matrix telcom"/>
    <d v="2022-09-13T00:00:00"/>
    <x v="11"/>
    <m/>
    <n v="63"/>
    <n v="56"/>
    <x v="2"/>
    <s v="FUNCIONAMIENTO"/>
    <x v="246"/>
    <d v="2022-09-05T00:00:00"/>
    <n v="239138116"/>
    <s v="MATRIX TELCOM LTDA"/>
    <n v="202208345"/>
    <n v="1190000"/>
    <m/>
    <m/>
    <m/>
    <m/>
    <m/>
    <s v="BOGOTA"/>
    <s v="NACIONAL"/>
    <s v="SUBGERENCIA OPERATIVA"/>
    <n v="4.9515638028802258E-3"/>
    <x v="0"/>
    <n v="1"/>
    <n v="45"/>
  </r>
  <r>
    <n v="368"/>
    <s v="0411"/>
    <x v="2"/>
    <d v="2022-07-12T00:00:00"/>
    <x v="7"/>
    <s v="GAA0738"/>
    <s v="FR-300-GAA-0188-2022"/>
    <s v="N/A"/>
    <s v="Suministro e Instalación de Bombas Centrifugas de Accionamiento Magnetico para el sistema SCRUBBER de la PTAP Puerto Mallarino"/>
    <n v="49623000"/>
    <s v="60 DIAS"/>
    <s v="900-IP-0411-2022"/>
    <m/>
    <n v="202204421"/>
    <m/>
    <s v="N/A"/>
    <s v="N/A"/>
    <s v="N/A"/>
    <x v="2"/>
    <s v="JUAN DAVID GOMEZ"/>
    <d v="2022-07-19T00:00:00"/>
    <e v="#VALUE!"/>
    <e v="#VALUE!"/>
    <s v="SI"/>
    <s v="Entregado al area"/>
    <x v="1"/>
    <s v="1 de agosto en solciitud de conceptos_x000a_28 DE SEPTIEMBRE 2022 APROBACION DE POLIZAS"/>
    <s v="SE TIENE QUE REGISTRAR EL PROVEEDOR GANADOR, LA ENRCARGADA ES ELIZA."/>
    <d v="2022-09-29T00:00:00"/>
    <x v="11"/>
    <m/>
    <n v="79"/>
    <n v="72"/>
    <x v="2"/>
    <s v="INVERSION"/>
    <x v="247"/>
    <d v="2022-09-15T00:00:00"/>
    <n v="49623000"/>
    <s v="NOVATEC FLUID SYSTEM SA"/>
    <n v="202208532"/>
    <n v="0"/>
    <m/>
    <m/>
    <m/>
    <m/>
    <m/>
    <m/>
    <m/>
    <s v="UNIDAD DE MANTENIMIENTO"/>
    <n v="0"/>
    <x v="0"/>
    <n v="1"/>
    <n v="33"/>
  </r>
  <r>
    <n v="369"/>
    <s v="0412"/>
    <x v="2"/>
    <d v="2022-07-13T00:00:00"/>
    <x v="7"/>
    <s v="GAA0755"/>
    <s v="FR-300-GAA-0190-2022"/>
    <s v="300-CMA-1243-2020"/>
    <s v="Suministro de Cloro, para ser utilizado en el tratamiento de agua potable para consumo humano"/>
    <n v="4194300480"/>
    <s v="16 de enero 2023"/>
    <s v="N/A"/>
    <m/>
    <n v="202203114"/>
    <m/>
    <s v="N/A"/>
    <s v="N/A"/>
    <s v="N/A"/>
    <x v="1"/>
    <s v="AYDEE OVALLE"/>
    <d v="2022-07-17T00:00:00"/>
    <n v="63"/>
    <n v="59"/>
    <s v="SI"/>
    <s v="Entregado al area"/>
    <x v="1"/>
    <s v="18 de julio en elaboracion de la fpa_x000a_2 DE AGOSTO EN ESPRA DE LAS POLIZAS"/>
    <m/>
    <d v="2022-08-04T00:00:00"/>
    <x v="1"/>
    <m/>
    <n v="22"/>
    <n v="18"/>
    <x v="0"/>
    <s v="OPERACIÓN"/>
    <x v="248"/>
    <d v="2022-07-29T00:00:00"/>
    <n v="4192071840"/>
    <s v="QUIMPAC DE COLOMBIA SA"/>
    <n v="202207329"/>
    <n v="2228640"/>
    <m/>
    <m/>
    <m/>
    <m/>
    <m/>
    <s v="YUMBO"/>
    <s v="MUNICIPAL"/>
    <s v="PRODUCCIÓN DE AGUA POTABLE"/>
    <n v="5.3134962805526033E-4"/>
    <x v="0"/>
    <n v="0"/>
    <n v="22"/>
  </r>
  <r>
    <n v="370"/>
    <s v="0413"/>
    <x v="2"/>
    <d v="2022-07-13T00:00:00"/>
    <x v="7"/>
    <s v="GAA0758"/>
    <s v="FR-300-GAA-0191-2022"/>
    <s v="300-CMA-1241-2020"/>
    <s v="Suministro de Adsorbente para las Plantas de Tratamiento de Agua Potable Puerto Mallarino, Río Cauca y Río Cali: Carbon Activado "/>
    <n v="1012208288"/>
    <s v="31 DE MARZO 2023"/>
    <s v="N/A"/>
    <m/>
    <n v="202203114"/>
    <n v="1012208288"/>
    <s v="N/A"/>
    <s v="N/A"/>
    <s v="N/A"/>
    <x v="1"/>
    <s v="CENELIA CRUZ"/>
    <d v="2022-07-17T00:00:00"/>
    <e v="#VALUE!"/>
    <e v="#VALUE!"/>
    <s v="SI"/>
    <s v="Entregado al area"/>
    <x v="1"/>
    <s v="1 DE AGOSTO ENR EVISION DEL OTRO SI PARA AJUSTAR LOS PRECIOS"/>
    <m/>
    <d v="2022-09-06T00:00:00"/>
    <x v="11"/>
    <m/>
    <n v="55"/>
    <n v="51"/>
    <x v="0"/>
    <s v="OPERACIÓN"/>
    <x v="249"/>
    <d v="2022-08-12T00:00:00"/>
    <n v="1011189796"/>
    <s v="SULFOQUIMICA SA"/>
    <n v="202207811"/>
    <n v="1018492"/>
    <m/>
    <m/>
    <m/>
    <m/>
    <m/>
    <s v="ITAGUI"/>
    <s v="NACIONAL"/>
    <s v="PRODUCCIÓN DE AGUA POTABLE"/>
    <n v="1.0062079238774223E-3"/>
    <x v="0"/>
    <n v="0"/>
    <n v="55"/>
  </r>
  <r>
    <n v="371"/>
    <s v="0414"/>
    <x v="2"/>
    <d v="2022-07-13T00:00:00"/>
    <x v="7"/>
    <s v="GAA0757"/>
    <s v="FR-300-GAA-0192-2022"/>
    <s v="300-CMA-1246-2020"/>
    <s v="Suministro de Coagulante para las Plantas Río Cauca, Río Cali, La Reforma y L a Rivera: Hidroxicloruro de Aluminio"/>
    <n v="3369600000"/>
    <s v="16 DE ENERO 2023"/>
    <s v="N/A"/>
    <m/>
    <n v="202203114"/>
    <m/>
    <s v="N/A"/>
    <s v="N/A"/>
    <s v="N/A"/>
    <x v="1"/>
    <s v="AYDEE OVALLE"/>
    <d v="2022-07-17T00:00:00"/>
    <n v="-44755"/>
    <n v="-44759"/>
    <s v="SI"/>
    <s v="Entregado al area"/>
    <x v="1"/>
    <s v="18 de julio en aceptacion de oferta"/>
    <m/>
    <d v="2022-07-26T00:00:00"/>
    <x v="10"/>
    <m/>
    <n v="13"/>
    <n v="9"/>
    <x v="0"/>
    <s v="OPERACIÓN"/>
    <x v="250"/>
    <d v="2022-07-18T00:00:00"/>
    <n v="3369597431"/>
    <s v="QUIMPAC COLOMBIA SA"/>
    <n v="202207154"/>
    <n v="2569"/>
    <m/>
    <m/>
    <m/>
    <m/>
    <m/>
    <s v="YUMBO"/>
    <s v="LOCAL"/>
    <s v="PRODUCCIÓN DE AGUA POTABLE"/>
    <n v="7.6240503323836655E-7"/>
    <x v="0"/>
    <n v="0"/>
    <n v="13"/>
  </r>
  <r>
    <n v="372"/>
    <s v="0415"/>
    <x v="5"/>
    <d v="2022-07-13T00:00:00"/>
    <x v="7"/>
    <s v="GHA0254"/>
    <s v="FR-800-GHA-0148-2022"/>
    <s v="N/A"/>
    <s v="Realizar la compra de papel higiénico rollo x 500 mts, como elemento de aseo necesario para EMCALI EICE ESP"/>
    <n v="29083819"/>
    <s v="28 DE NOVIEMBRE 2022"/>
    <s v="900-IP-0415-2022"/>
    <m/>
    <n v="202203026"/>
    <n v="29120000"/>
    <s v="N/A"/>
    <s v="N/A"/>
    <s v="N/A"/>
    <x v="2"/>
    <s v="JHON LARRY "/>
    <d v="2022-07-18T00:00:00"/>
    <e v="#VALUE!"/>
    <e v="#VALUE!"/>
    <s v="SI"/>
    <s v="Entregado al area"/>
    <x v="1"/>
    <s v="2 DE AGOSTO EN SOLICITUD DE CONCEPTOS. 5 DE AGOSTO EN ELABORACION DE FPA E INVITACION_x000a_18 de agosto en invtitacion a ofertar"/>
    <m/>
    <d v="2022-09-21T00:00:00"/>
    <x v="11"/>
    <m/>
    <n v="70"/>
    <n v="65"/>
    <x v="2"/>
    <s v="FUNCIONAMIENTO"/>
    <x v="251"/>
    <d v="2022-09-14T00:00:00"/>
    <n v="21704765"/>
    <s v="DISPAPELES SAS"/>
    <n v="202208415"/>
    <n v="7379054"/>
    <m/>
    <m/>
    <m/>
    <m/>
    <m/>
    <s v="BOGOTA"/>
    <s v="NACIONAL"/>
    <s v="UNIDAD GESTIÓN ADMINISTRATIVA"/>
    <n v="0.25371681758850168"/>
    <x v="1"/>
    <n v="1"/>
    <n v="36"/>
  </r>
  <r>
    <n v="373"/>
    <s v="0416"/>
    <x v="5"/>
    <d v="2022-07-13T00:00:00"/>
    <x v="7"/>
    <s v="GHA0255_x000a_GHA0256_x000a_GHA0257_x000a_GHA0258_x000a_GHA0259_x000a_GHA0260"/>
    <s v="FR-800-GHA-0165-2022"/>
    <s v="N/A"/>
    <s v="Realizar la compra de un (1) Mini Cargador, una (1) Retroexcavadora y una (1) Excavadora, con las condiciones de entrega requeridas por EMCALI EICE ESP, incluyendo el servicio de diez (10) mantenimientos preventivos para cada equipo"/>
    <n v="2619798708"/>
    <m/>
    <s v="900-IP-0416-2022"/>
    <s v="IP-"/>
    <s v="202202875_x000a_202202796_x000a_202204261_x000a_202202797_x000a_202204262_x000a_202202876_x000a_202202795_x000a_202204260_x000a_202202872"/>
    <m/>
    <s v="N/A"/>
    <s v="N/A"/>
    <s v="N/A"/>
    <x v="2"/>
    <s v="PAOLA BELTRAN"/>
    <d v="2022-10-31T00:00:00"/>
    <e v="#VALUE!"/>
    <e v="#VALUE!"/>
    <s v="SI"/>
    <s v="Adjudicacion"/>
    <x v="1"/>
    <d v="2022-11-29T00:00:00"/>
    <s v="5 DE AGOSTO ENTREGADO  REASIGANDO A LAURA PIMIENTA_x000a_28 DE SEPTIEMBRE EN COTIZACIONES_x000a_24-11-2022, En tramite de Emisión de RP y Emisión de Polizas desde el 23 de noviembre de 2022"/>
    <d v="2022-11-28T00:00:00"/>
    <x v="13"/>
    <s v="nov"/>
    <n v="138"/>
    <n v="28"/>
    <x v="6"/>
    <s v="FUNCIONAMIENTO"/>
    <x v="252"/>
    <s v="23-11-202"/>
    <n v="2619798708"/>
    <s v="GENERAL DE EQUIPOS DE COLOMBIA S.A GECOLSA "/>
    <s v="AB-2300002903"/>
    <n v="0"/>
    <m/>
    <m/>
    <m/>
    <m/>
    <m/>
    <m/>
    <m/>
    <m/>
    <n v="0"/>
    <x v="1"/>
    <n v="1"/>
    <n v="71"/>
  </r>
  <r>
    <n v="374"/>
    <s v="0417"/>
    <x v="5"/>
    <d v="2022-07-13T00:00:00"/>
    <x v="7"/>
    <s v="GHA0246"/>
    <s v="FR-800-GHA-0171-2022"/>
    <s v="N/A"/>
    <s v="Suministrar insumos para la dotación y redotación de los botiquines ubicados en las sedes, plantas y vehículos del Parque Automotor de EMCALI EICE ESP"/>
    <n v="97226223"/>
    <s v="28 DE NOVIEMBRE 2022"/>
    <s v="900-IP-0417-2022"/>
    <m/>
    <n v="202203963"/>
    <n v="97226223"/>
    <s v="N/A"/>
    <s v="N/A"/>
    <s v="N/A"/>
    <x v="2"/>
    <s v="ANA MARIA GIL"/>
    <d v="2022-08-04T00:00:00"/>
    <n v="63"/>
    <n v="41"/>
    <s v="SI"/>
    <s v="Entregado al area"/>
    <x v="1"/>
    <s v="2 DE AGOSTO EN REVISION DE LA FPA  4 DE AGOSTO EN RECEPCION DE OFERTAS Y REASIGNADO A ANA MARIA GIL 5 DE AGOSTO EN INVITACION A OFERTAR_x000a_18 de agosto en aceptacion de la oferta."/>
    <s v="SE REQUIERE MODIFICAR LA INVITACION"/>
    <d v="2022-08-29T00:00:00"/>
    <x v="1"/>
    <m/>
    <n v="47"/>
    <n v="25"/>
    <x v="2"/>
    <s v="FUNCIONAMIENTO"/>
    <x v="253"/>
    <d v="2022-08-16T00:00:00"/>
    <n v="93140500"/>
    <s v="CRUZ ROJA COLOMBIANA SECCIONAL VALLE DEL CAUCA"/>
    <n v="202207950"/>
    <n v="4085723"/>
    <m/>
    <m/>
    <m/>
    <m/>
    <m/>
    <s v="CALI"/>
    <s v="LOCAL"/>
    <s v="UNIDAD SEGURIDAD Y SALUD EN EL TRABAJO"/>
    <n v="4.2022850152268074E-2"/>
    <x v="1"/>
    <n v="1"/>
    <n v="28"/>
  </r>
  <r>
    <n v="375"/>
    <s v="0418"/>
    <x v="2"/>
    <d v="2022-07-13T00:00:00"/>
    <x v="7"/>
    <s v="GAA0237_x000a_GAA0238"/>
    <s v="FR-300-GAA-0189-2022"/>
    <s v="N/A"/>
    <s v="Suministro de materiales, recipientes y reactivos para los Laboratorios de las PTAP´s EMCALI"/>
    <n v="26256453"/>
    <s v="70 DIAS"/>
    <s v="900-IP-0389-2022"/>
    <m/>
    <s v="202202691_x000a_202202692"/>
    <n v="26256453"/>
    <s v="N/A"/>
    <s v="N/A"/>
    <s v="N/A"/>
    <x v="2"/>
    <s v="AYDEE OVALLE"/>
    <d v="2022-07-13T00:00:00"/>
    <e v="#VALUE!"/>
    <e v="#VALUE!"/>
    <s v="SI"/>
    <s v="Entregado al area"/>
    <x v="1"/>
    <s v="18 d ejulio esperando concepto de seguros_x000a_2 DE AGOSTO EN ELABORACION DE FPA"/>
    <m/>
    <d v="2022-09-01T00:00:00"/>
    <x v="12"/>
    <m/>
    <n v="50"/>
    <n v="50"/>
    <x v="2"/>
    <s v="OPERACIÓN"/>
    <x v="194"/>
    <d v="2022-08-30T00:00:00"/>
    <n v="26256243"/>
    <s v="PROFINAS SOCIEDAD POR ACCIONES SIMPLIFICADA"/>
    <n v="202208018"/>
    <n v="210"/>
    <m/>
    <m/>
    <m/>
    <m/>
    <m/>
    <s v="YUMBO"/>
    <s v="REGIONAL"/>
    <m/>
    <n v="7.9980338547632467E-6"/>
    <x v="0"/>
    <n v="1"/>
    <n v="33"/>
  </r>
  <r>
    <n v="376"/>
    <s v="0419"/>
    <x v="2"/>
    <d v="2022-07-13T00:00:00"/>
    <x v="7"/>
    <s v="GAA0756"/>
    <s v="FR-300-GAA-0193-2022"/>
    <s v="300-CMA-1245-2020"/>
    <s v="Suministro de Coagulante para ser utilizado en el tratamiento de Agua Potable para Consumo Humano"/>
    <n v="4566744000"/>
    <s v="90 DIAS"/>
    <s v="N/A"/>
    <m/>
    <n v="202203114"/>
    <m/>
    <s v="N/A"/>
    <s v="N/A"/>
    <s v="N/A"/>
    <x v="1"/>
    <s v="AYDEE OVALLE"/>
    <d v="2022-07-13T00:00:00"/>
    <n v="63"/>
    <n v="63"/>
    <s v="SI"/>
    <s v="Entregado al area"/>
    <x v="1"/>
    <s v="18 de julio en elaboracion de la fpa_x000a_2 DE AGOSTO EN ACEPTACION DE LA OFERTA"/>
    <m/>
    <d v="2022-08-18T00:00:00"/>
    <x v="1"/>
    <m/>
    <n v="36"/>
    <n v="36"/>
    <x v="0"/>
    <s v="OPERACIÓN"/>
    <x v="254"/>
    <d v="2022-08-05T00:00:00"/>
    <n v="4566740920"/>
    <s v="QUIMPAC DE COLOMBIA SA"/>
    <n v="202207744"/>
    <n v="3080"/>
    <m/>
    <m/>
    <m/>
    <m/>
    <m/>
    <s v="YUMBO"/>
    <s v="MUNICIPAL"/>
    <s v="PRODUCCIÓN DE AGUA POTABLE"/>
    <n v="6.74441133551607E-7"/>
    <x v="0"/>
    <n v="0"/>
    <n v="36"/>
  </r>
  <r>
    <n v="377"/>
    <s v="0420"/>
    <x v="1"/>
    <d v="2022-07-13T00:00:00"/>
    <x v="7"/>
    <s v="GE0232"/>
    <s v="FR-500-GE-0215-2022"/>
    <s v="N/A"/>
    <s v="Grupo 1: Suministro de las Luminarias Led para Sistemas de Alumbrado Público de acuerdo a los diseños Fotométricos detallados por proyecto_x000a_Grupo 2: Suministro de los proyectos Led para Sistemas de Alumbrado Público de acuerdo a los diseños Fotométricos detallados por proyecto"/>
    <n v="17366079000"/>
    <m/>
    <s v="900-IPU-0420-2022"/>
    <s v="IPU"/>
    <n v="202204119"/>
    <m/>
    <s v="N/A"/>
    <s v="N/A"/>
    <s v="N/A"/>
    <x v="0"/>
    <s v="HAROLD MONDRAGON"/>
    <d v="2022-07-18T00:00:00"/>
    <e v="#VALUE!"/>
    <e v="#VALUE!"/>
    <s v="NO"/>
    <s v="Cerrado"/>
    <x v="0"/>
    <m/>
    <s v="1 DE AGOSTO EN ELABORACION DE LA FPA Y CC_x000a_28 D ESEPTIEMBRE PENDIENTE DE ACTA DE CIERRRE EN JURIDICA"/>
    <d v="2022-10-19T00:00:00"/>
    <x v="5"/>
    <s v="oct"/>
    <n v="98"/>
    <n v="93"/>
    <x v="3"/>
    <s v="FUNCIONAMIENTO"/>
    <x v="0"/>
    <m/>
    <m/>
    <m/>
    <m/>
    <m/>
    <m/>
    <m/>
    <m/>
    <m/>
    <m/>
    <m/>
    <m/>
    <m/>
    <m/>
    <x v="0"/>
    <m/>
    <m/>
  </r>
  <r>
    <n v="378"/>
    <s v="0421"/>
    <x v="1"/>
    <d v="2022-07-13T00:00:00"/>
    <x v="7"/>
    <s v="GE0338"/>
    <s v="FR-500-GE-0218-2022"/>
    <s v="N/A"/>
    <s v="Reparación del Equipo de pruebas VLF CR 60"/>
    <n v="61190810"/>
    <s v="1 mes"/>
    <s v="900-IP-0421-2022"/>
    <m/>
    <n v="202205063"/>
    <m/>
    <s v="N/A"/>
    <s v="N/A"/>
    <s v="N/A"/>
    <x v="2"/>
    <s v="JULIO GARCIA"/>
    <d v="2022-08-12T00:00:00"/>
    <n v="63"/>
    <n v="33"/>
    <s v="SI"/>
    <s v="Entregado al area"/>
    <x v="1"/>
    <s v="1 DE AGOSTO EN ELABORACION DE FPA E INVITACION, SE DEMORO PORQUE TUVIERON QUE CAMBIAR EL CDP. 5 DE AGOSTO EN REVISION DE FPA E INVITACION_x000a_12 de agosto en numeracion de la aceptacion, rasignado a Julio garcia porque adalberto se va a vacaciones"/>
    <m/>
    <d v="2022-08-19T00:00:00"/>
    <x v="1"/>
    <m/>
    <n v="37"/>
    <n v="7"/>
    <x v="1"/>
    <s v="FUNCIONAMIENTO"/>
    <x v="255"/>
    <d v="2022-08-11T00:00:00"/>
    <n v="61190810"/>
    <s v="NEW PRO SAS"/>
    <n v="202207810"/>
    <n v="0"/>
    <m/>
    <m/>
    <m/>
    <m/>
    <m/>
    <s v="BOGOTA"/>
    <s v="NACIONAL"/>
    <s v="UNIDAD DE MANTENIMIENTO"/>
    <n v="0"/>
    <x v="0"/>
    <n v="1"/>
    <n v="27"/>
  </r>
  <r>
    <n v="379"/>
    <s v="0422"/>
    <x v="1"/>
    <d v="2022-07-13T00:00:00"/>
    <x v="7"/>
    <s v="GE0339"/>
    <s v="FR-500-GE-0219-2022"/>
    <s v="N/A"/>
    <s v="Servicios de prueba, diagnóstico y localización puntual de falla en los cables subterráneos que presentan daño de acuerdo con la necesidad de EMCALI EICE ESP"/>
    <n v="47600000"/>
    <s v="31 DE DICIEMBRE 2022"/>
    <s v="900-IP-0422-2022"/>
    <m/>
    <n v="202205064"/>
    <n v="47600000"/>
    <s v="N/A"/>
    <s v="N/A"/>
    <s v="N/A"/>
    <x v="2"/>
    <s v="JHON LARRY "/>
    <d v="2022-07-18T00:00:00"/>
    <e v="#VALUE!"/>
    <e v="#VALUE!"/>
    <s v="SI"/>
    <s v="Entregado al area"/>
    <x v="1"/>
    <s v="2 DE AGOSTO EN SOLICITUD DE CONCEPTOS. 5 DE AGOSTO EN COTIZACION"/>
    <m/>
    <d v="2022-09-21T00:00:00"/>
    <x v="11"/>
    <m/>
    <n v="70"/>
    <n v="65"/>
    <x v="5"/>
    <s v="FUNCIONAMIENTO"/>
    <x v="256"/>
    <d v="2022-09-15T00:00:00"/>
    <n v="43693800"/>
    <s v="NEW PRO SAS"/>
    <n v="202208442"/>
    <n v="3906200"/>
    <m/>
    <m/>
    <m/>
    <m/>
    <m/>
    <s v="BOGOTA"/>
    <s v="NACIONAL"/>
    <s v="UNIDAD DE MANTENIMIENTO"/>
    <n v="8.2063025210084031E-2"/>
    <x v="0"/>
    <n v="1"/>
    <n v="30"/>
  </r>
  <r>
    <n v="380"/>
    <s v="0423"/>
    <x v="2"/>
    <d v="2022-07-14T00:00:00"/>
    <x v="7"/>
    <s v="GAA0392"/>
    <s v="FR-300-GAA-0159-2022"/>
    <s v="N/A"/>
    <s v="Realizar los estudios y diseños de ingenieria de detalle del tratamiento secundario de la Planta de Tratamiento de Aguas Residuales de Cañaveralejo - PTAR-C de EMCALI EICE ESP"/>
    <n v="13386733241"/>
    <m/>
    <s v="900-IPU-0423-2022"/>
    <s v="IPU"/>
    <n v="202200781"/>
    <m/>
    <s v="108-202200001"/>
    <m/>
    <s v="N/A"/>
    <x v="0"/>
    <s v="HAROLD MONDRAGON"/>
    <d v="2022-07-18T00:00:00"/>
    <e v="#VALUE!"/>
    <e v="#VALUE!"/>
    <m/>
    <s v="Cerrado"/>
    <x v="0"/>
    <d v="2022-12-09T00:00:00"/>
    <s v="1 DE AGOSTO EN INTELIGENCIA DE MERCADO_x000a_31 de agosto en respuesta a observacones_x000a_29 DE SEPTIEMBRE EN EVALUACION SOBRE 1_x000a_08-11-2022, Pasó a Comie y no fue coadyudado en espera gerente GAE_x000a_30-11-2022, EN ESPERA QUE SECRETARIA DE COMITÉ INFORME SI SE CIERRA O VUELVE A COMITE "/>
    <m/>
    <x v="5"/>
    <s v=""/>
    <n v="-44756"/>
    <n v="-44760"/>
    <x v="3"/>
    <s v="INVERSION"/>
    <x v="0"/>
    <m/>
    <m/>
    <m/>
    <m/>
    <m/>
    <m/>
    <m/>
    <m/>
    <m/>
    <m/>
    <m/>
    <m/>
    <m/>
    <m/>
    <x v="0"/>
    <m/>
    <m/>
  </r>
  <r>
    <n v="381"/>
    <s v="0424"/>
    <x v="2"/>
    <d v="2022-07-14T00:00:00"/>
    <x v="7"/>
    <s v="GAA0714"/>
    <s v="FR-300-GAA-0161-2022"/>
    <s v="N/A"/>
    <s v="Realizar la interventoría técnica, administrativa, financiera, contable, ambiental, social y jurídica de la consultoría &quot;Estudios y Diseños de ingeniería de detalle del tratamiento secundario de la Planta de Tratamiento de Aguas Residuales de Cañaveralejo PTAR-C de EMCALI EICE ESP"/>
    <n v="1070938659"/>
    <m/>
    <s v="900-IPU-0424-2022"/>
    <s v="IPU"/>
    <n v="202200781"/>
    <m/>
    <s v="108-202200001"/>
    <m/>
    <s v="N/A"/>
    <x v="0"/>
    <s v="HAROLD MONDRAGON"/>
    <d v="2022-07-18T00:00:00"/>
    <e v="#VALUE!"/>
    <e v="#VALUE!"/>
    <m/>
    <s v="Devuelto"/>
    <x v="2"/>
    <d v="2022-11-30T00:00:00"/>
    <s v="1 DE AGOSTO EN INTELIGENCIA DE MERCADO_x000a_28 DE SEPTIEMBRE EN REVISION DE FPA Y CC_x000a_09-11-2022, revision asesora juridica gae CC"/>
    <d v="2022-12-29T00:00:00"/>
    <x v="5"/>
    <s v="dic"/>
    <n v="168"/>
    <n v="164"/>
    <x v="3"/>
    <s v="INVERSION"/>
    <x v="0"/>
    <m/>
    <m/>
    <m/>
    <m/>
    <m/>
    <m/>
    <m/>
    <m/>
    <m/>
    <m/>
    <m/>
    <m/>
    <m/>
    <m/>
    <x v="0"/>
    <m/>
    <m/>
  </r>
  <r>
    <n v="382"/>
    <s v="0425"/>
    <x v="6"/>
    <d v="2022-07-14T00:00:00"/>
    <x v="7"/>
    <s v="GTI0188"/>
    <s v="FR-200-GTI-0108-2022"/>
    <s v="N/A"/>
    <s v="Suministrar servicios de consultoría para realizar el análisis de cobertura y cambio de versión del sistema Open Smartflex"/>
    <n v="261252154"/>
    <s v="28 DE DICIEMBRE 2022"/>
    <s v="900-IP-0425-2022"/>
    <m/>
    <n v="202205139"/>
    <n v="261252154"/>
    <s v="N/A"/>
    <s v="N/A"/>
    <s v="N/A"/>
    <x v="2"/>
    <s v="DIEGO PATIÑO"/>
    <d v="2022-07-19T00:00:00"/>
    <e v="#VALUE!"/>
    <e v="#VALUE!"/>
    <s v="SI"/>
    <s v="Entregado al area"/>
    <x v="1"/>
    <s v="4 DE AGOSTO EN ELABROACION DE FPA E INVITACION"/>
    <m/>
    <d v="2022-09-15T00:00:00"/>
    <x v="11"/>
    <m/>
    <n v="63"/>
    <n v="58"/>
    <x v="2"/>
    <s v="INVERSION"/>
    <x v="257"/>
    <d v="2022-09-09T00:00:00"/>
    <n v="261252154"/>
    <s v="OPEN INTERNTIONAL SAS"/>
    <m/>
    <n v="0"/>
    <m/>
    <m/>
    <m/>
    <m/>
    <m/>
    <s v="CALI"/>
    <s v="LOCAL"/>
    <s v="UNIDAD DE PROSPECTIVA Y DESARROLLO DE NEGOCIOS"/>
    <n v="0"/>
    <x v="1"/>
    <n v="1"/>
    <n v="45"/>
  </r>
  <r>
    <n v="383"/>
    <s v="0426"/>
    <x v="2"/>
    <d v="2022-07-15T00:00:00"/>
    <x v="7"/>
    <s v="PENDIENTE"/>
    <s v="FR-300-GAA-0142-2022"/>
    <s v="N/A"/>
    <s v="Suministro de elementos eléctricos para todas las estaciones de bombeo de aguas lluvias y/o residuales"/>
    <n v="62022081"/>
    <s v="2 MESES"/>
    <s v="900-IP-0426-2022"/>
    <m/>
    <n v="202201836"/>
    <n v="69554145"/>
    <s v="N/A"/>
    <s v="N/A"/>
    <s v="N/A"/>
    <x v="2"/>
    <s v="LINA ECHAVARRIA"/>
    <d v="2022-07-15T00:00:00"/>
    <e v="#VALUE!"/>
    <e v="#VALUE!"/>
    <s v="SI"/>
    <s v="Entregado al area"/>
    <x v="1"/>
    <s v="1 DE AGOSTO EN COTIZACIONES"/>
    <m/>
    <d v="2022-09-22T00:00:00"/>
    <x v="11"/>
    <m/>
    <n v="69"/>
    <n v="69"/>
    <x v="5"/>
    <s v="FUNCIONAMIENTO"/>
    <x v="258"/>
    <d v="2022-09-13T00:00:00"/>
    <n v="62017508"/>
    <s v="EPRING SAS"/>
    <n v="202208577"/>
    <n v="4573"/>
    <m/>
    <m/>
    <m/>
    <m/>
    <m/>
    <s v="CALI"/>
    <s v="LOCAL"/>
    <s v="UNIDAD DE BOMBEO"/>
    <n v="7.3731805290441646E-5"/>
    <x v="0"/>
    <n v="1"/>
    <n v="49"/>
  </r>
  <r>
    <n v="384"/>
    <s v="0427"/>
    <x v="1"/>
    <d v="2022-07-15T00:00:00"/>
    <x v="7"/>
    <s v="GE0242"/>
    <s v="FR-500-GE-0208-2022"/>
    <s v="N/A"/>
    <s v="Suministro DDP de Equipos de prueba y localización de falla en cables aislados o subterraneos de media tensión, incluido el suministro del vehículo con las adecuaciones necesarias para la instalación de los equipos y elementos de prueba, localización y complementarios"/>
    <n v="1300000000"/>
    <s v="28 DE NOVIEMBRE 2022"/>
    <s v="900-IPU-0427-2022"/>
    <m/>
    <n v="202204406"/>
    <n v="1300000000"/>
    <s v="N/A"/>
    <s v="N/A"/>
    <s v="N/A"/>
    <x v="0"/>
    <s v="PAOLA BELTRAN"/>
    <d v="2022-07-18T00:00:00"/>
    <e v="#VALUE!"/>
    <e v="#VALUE!"/>
    <s v="SI"/>
    <s v="Entregado al area"/>
    <x v="1"/>
    <s v="1 DE AGOSTO EN ELABORACION DE LA CC"/>
    <m/>
    <d v="2022-09-19T00:00:00"/>
    <x v="11"/>
    <m/>
    <n v="66"/>
    <n v="63"/>
    <x v="0"/>
    <s v="INVERSION"/>
    <x v="259"/>
    <d v="2022-09-15T00:00:00"/>
    <n v="1299859708"/>
    <s v="NEW PRO SAS"/>
    <n v="202208491"/>
    <n v="140292"/>
    <m/>
    <m/>
    <m/>
    <m/>
    <m/>
    <s v="BOGOTA"/>
    <s v="NACIONAL"/>
    <s v="UNIDAD DE MANTENIMIENTO"/>
    <n v="1.0791692307692307E-4"/>
    <x v="0"/>
    <n v="2"/>
    <n v="66"/>
  </r>
  <r>
    <n v="385"/>
    <s v="0428"/>
    <x v="2"/>
    <d v="2022-07-18T00:00:00"/>
    <x v="7"/>
    <s v="PENDINETE"/>
    <s v="FR-300-GAA-0137-2022"/>
    <s v="N/A"/>
    <s v="Mantenimiento y Calibración sistemas de Pesaje Plantas de Tratamiento de Agua Potable"/>
    <n v="29720250"/>
    <s v="28 DE NOVIEMBRE 2022"/>
    <s v="900-IP-0428-2022"/>
    <m/>
    <n v="202200893"/>
    <n v="30000000"/>
    <s v="N/A"/>
    <s v="N/A"/>
    <s v="N/A"/>
    <x v="2"/>
    <s v="JHON LARRY "/>
    <d v="2022-07-18T00:00:00"/>
    <e v="#VALUE!"/>
    <e v="#VALUE!"/>
    <s v="SI"/>
    <s v="Entregado al area"/>
    <x v="1"/>
    <s v="5 DE AGOSTO EN REVISION DE LA FPA POR SILVIA"/>
    <m/>
    <d v="2022-09-13T00:00:00"/>
    <x v="11"/>
    <m/>
    <n v="57"/>
    <n v="57"/>
    <x v="2"/>
    <s v="FUNCIONAMIENTO"/>
    <x v="260"/>
    <d v="2022-09-02T00:00:00"/>
    <n v="29720250"/>
    <s v="WEIGHING SYSTEMS SOLUTIONS WSS LTDA"/>
    <n v="202208289"/>
    <n v="0"/>
    <m/>
    <m/>
    <m/>
    <m/>
    <m/>
    <s v="CALI"/>
    <s v="LOCAL"/>
    <s v="UNIDAD DE MANTENIMIENTO"/>
    <n v="0"/>
    <x v="0"/>
    <n v="1"/>
    <n v="41"/>
  </r>
  <r>
    <n v="386"/>
    <s v="0429"/>
    <x v="2"/>
    <d v="2022-07-18T00:00:00"/>
    <x v="7"/>
    <s v="GAA0762"/>
    <s v="FR-300-GAA-0096-2022"/>
    <s v="N/A"/>
    <s v="Servicios de asesoría para control de parámetros de seguimiento al plan de manejo ambiental - PMA de la Planta de Tratamiento de Aguas Residuales de Cañaveralejo - PTAR C DE EMCALI EICE ESP"/>
    <n v="357050595"/>
    <n v="309233400"/>
    <s v="900-IP-0429-2022"/>
    <m/>
    <n v="202202753"/>
    <n v="495000000"/>
    <s v="N/A"/>
    <s v="N/A"/>
    <s v="N/A"/>
    <x v="2"/>
    <s v="PAOLA BELTRAN"/>
    <d v="2022-08-05T00:00:00"/>
    <e v="#VALUE!"/>
    <e v="#VALUE!"/>
    <s v="SI"/>
    <s v="Entregado al area"/>
    <x v="1"/>
    <s v="2 DE AGOSTO SE ASIGNARA A OTRO GESTOR 4 DE AGOSTO REASIGNADO A PAOLA BELTRAN"/>
    <m/>
    <d v="2022-09-20T00:00:00"/>
    <x v="11"/>
    <m/>
    <n v="64"/>
    <n v="46"/>
    <x v="2"/>
    <s v="FUNCIONAMIENTO"/>
    <x v="261"/>
    <d v="2022-09-13T00:00:00"/>
    <n v="309233400"/>
    <s v="AG CONSULTORES AMBIENTALES SAS"/>
    <m/>
    <n v="47817195"/>
    <m/>
    <m/>
    <m/>
    <m/>
    <m/>
    <m/>
    <m/>
    <s v="UNIDAD DE TRATAMIENTO"/>
    <n v="0.13392274279783795"/>
    <x v="0"/>
    <n v="1"/>
    <n v="39"/>
  </r>
  <r>
    <n v="387"/>
    <s v="0430"/>
    <x v="5"/>
    <d v="2022-07-18T00:00:00"/>
    <x v="7"/>
    <s v="GHA0233_x000a_GHA0234_x000a_GHA0250_x000a_GHA0251_x000a_GHA0252_x000a_GHA0253"/>
    <s v="FR-800-GHA-0150-2022"/>
    <s v="N/A"/>
    <s v="Realizar la compra de tres (3) camiones 4x2 doble cabina de dos toneladas con adecuaciones, una (1) camioneta 4x4 doble cabina con adecuaciones y dos (2) camperos 4x4 de tres puertas con porta escaleras de acuerdo con las condiciones de entrega requeridas por EMCALI EICE ESP; Incluyendo el servicio de diez (10) mantenimientos preventivos para cada campero y la camioneta y nueve (9) mantenimientos preventivos para cada camion. Mantenimientos que incluyen el valor de los correspondientes insumos, mano de obra y todos los repuestos de recambio que surjan en la rutina, ya sean preventivos y/o correctivos"/>
    <n v="1064136000"/>
    <m/>
    <s v="900-IP-0430-2022"/>
    <s v="IP-"/>
    <s v="202202129_x000a_202203021"/>
    <m/>
    <s v="N/A"/>
    <s v="N/A"/>
    <s v="N/A"/>
    <x v="2"/>
    <s v="LAURA PIMIENTA"/>
    <d v="2022-08-03T00:00:00"/>
    <e v="#VALUE!"/>
    <e v="#VALUE!"/>
    <s v="NO"/>
    <s v="Devuelto"/>
    <x v="2"/>
    <m/>
    <s v="3 de agosto reasignado a laura pimienta_x000a_SE DEVUELVE AL AREA POR AJUSTE DE PRESUPUESTO "/>
    <d v="2022-09-15T00:00:00"/>
    <x v="5"/>
    <s v="sep"/>
    <n v="59"/>
    <n v="43"/>
    <x v="5"/>
    <s v="FUNCIONAMIENTO"/>
    <x v="0"/>
    <m/>
    <m/>
    <m/>
    <m/>
    <m/>
    <m/>
    <m/>
    <m/>
    <m/>
    <m/>
    <m/>
    <m/>
    <m/>
    <m/>
    <x v="1"/>
    <m/>
    <m/>
  </r>
  <r>
    <n v="388"/>
    <s v="0431"/>
    <x v="5"/>
    <d v="2022-07-18T00:00:00"/>
    <x v="7"/>
    <s v="GHA0265"/>
    <s v="FR-800-GHA-0181-2022"/>
    <s v="N/A"/>
    <s v="Garantizar el suministro de repuestos requeridos para llevar a cabo mantenimientos correctivos y/o preventivos a los equipos de Presión - Succión que hacen parte del Parque Automotor de EMCALI EICE ESP."/>
    <n v="1691000000"/>
    <s v="28DE NOVIEMBRE 2022"/>
    <s v="900-IP-0431-2022"/>
    <m/>
    <s v="202204141_x000a_202204548"/>
    <m/>
    <s v="N/A"/>
    <s v="N/A"/>
    <s v="N/A"/>
    <x v="2"/>
    <s v="LAURA PIMIENTA"/>
    <d v="2022-07-19T00:00:00"/>
    <e v="#VALUE!"/>
    <e v="#VALUE!"/>
    <s v="SI"/>
    <s v="Entregado al area"/>
    <x v="1"/>
    <s v="3 de agosto reasignado a laura pimienta"/>
    <m/>
    <d v="2022-09-21T00:00:00"/>
    <x v="11"/>
    <m/>
    <n v="65"/>
    <n v="64"/>
    <x v="1"/>
    <s v="FUNCIONAMIENTO"/>
    <x v="262"/>
    <d v="2022-09-15T00:00:00"/>
    <n v="1691000000"/>
    <s v="SERVICIOS TECNICOS DE INGENIERIA LTDA SETINGE LTDA"/>
    <n v="202208490"/>
    <n v="0"/>
    <m/>
    <m/>
    <m/>
    <m/>
    <m/>
    <m/>
    <m/>
    <s v="UNIDAD GESTIÓN ADMINISTRATIVA"/>
    <n v="0"/>
    <x v="1"/>
    <n v="1"/>
    <n v="47"/>
  </r>
  <r>
    <n v="389"/>
    <s v="0432"/>
    <x v="5"/>
    <d v="2022-07-18T00:00:00"/>
    <x v="7"/>
    <s v="GHA0266_x000a_GHA0267"/>
    <s v="FR-800-GHA-0184-2022"/>
    <s v="N/A"/>
    <s v="Realizar la compra de una (1) motocicleta de cuatro tiempos con cilindraje entre 149 y 150 cm3 con adecuaciones y de acuerdo con las condiciones de entrega requeridas por EMCALI EICE ESP; Incluyendo el servicio de tres (3) mantenimientos preventivos durante un año contado a partir de la entrega de la motocicleta en el lugar destino para tal fin. Mantenimientos que incluyen el valor de los correspondientes insumos, mano de obra y todos los repuestos de recambio que surjan en la rutina, ya sean preventivos y/o correctivos."/>
    <n v="19602280"/>
    <s v="28 DE NOVIEMBRE 2022"/>
    <s v="900-IP-0432-2022"/>
    <m/>
    <s v="202202894_x000a_202204455"/>
    <m/>
    <s v="N/A"/>
    <s v="N/A"/>
    <s v="N/A"/>
    <x v="2"/>
    <s v="LAURA PIMIENTA"/>
    <d v="2022-07-19T00:00:00"/>
    <n v="113"/>
    <n v="112"/>
    <s v="SI"/>
    <s v="Entregado al area"/>
    <x v="1"/>
    <s v="3 de agosto reasignado a laura pimienta_x000a_28 DE SEPTIEMBRE EN SOLICITUD DE POLIZAS POR PARTE DEL PROVEEDOR"/>
    <m/>
    <d v="2022-10-06T00:00:00"/>
    <x v="12"/>
    <n v="80"/>
    <m/>
    <n v="79"/>
    <x v="2"/>
    <s v="FUNCIONAMIENTO"/>
    <x v="263"/>
    <d v="2022-09-15T00:00:00"/>
    <n v="19400000"/>
    <s v="ZAGAMOTOS DEL PACIFICO SAS"/>
    <n v="202208531"/>
    <n v="202280"/>
    <s v="CALI"/>
    <s v="LOCAL"/>
    <m/>
    <m/>
    <m/>
    <m/>
    <m/>
    <m/>
    <n v="1.0319207765627263E-2"/>
    <x v="1"/>
    <n v="1"/>
    <n v="58"/>
  </r>
  <r>
    <n v="390"/>
    <s v="0433"/>
    <x v="0"/>
    <d v="2022-07-18T00:00:00"/>
    <x v="7"/>
    <s v="GT0153"/>
    <s v="FR-400-GT-0177-2022"/>
    <s v="N/A"/>
    <s v="Soporte técnico y mantenimiento medidor marca PROMAX, modelo HD Ranger 2"/>
    <n v="3451000"/>
    <s v="28 DE NOVIEMBRE 2022"/>
    <s v="900-IP-0433-2022"/>
    <m/>
    <n v="202205066"/>
    <n v="3451000"/>
    <s v="N/A"/>
    <s v="N/A"/>
    <s v="N/A"/>
    <x v="2"/>
    <s v="JHON LARRY "/>
    <d v="2022-07-21T00:00:00"/>
    <n v="113"/>
    <n v="110"/>
    <s v="SI"/>
    <s v="Entregado al area"/>
    <x v="1"/>
    <s v="2 DE AGOSTO EN SOLICITUD DE CONCEPTOS. 5 DE AGOSTO EN COTIZACION. SE SACARA POR LITERAL G."/>
    <m/>
    <d v="2022-10-12T00:00:00"/>
    <x v="12"/>
    <n v="86"/>
    <m/>
    <n v="83"/>
    <x v="2"/>
    <s v="FUNCIONAMIENTO"/>
    <x v="264"/>
    <d v="2022-08-30T00:00:00"/>
    <n v="3451000"/>
    <s v="RF LABS GRUPO TECNOLOGICO"/>
    <n v="202208014"/>
    <n v="0"/>
    <s v="BOGOTA "/>
    <s v="NACIONAL"/>
    <m/>
    <m/>
    <m/>
    <m/>
    <m/>
    <m/>
    <n v="0"/>
    <x v="0"/>
    <n v="1"/>
    <n v="57"/>
  </r>
  <r>
    <n v="391"/>
    <s v="0434"/>
    <x v="3"/>
    <d v="2022-07-18T00:00:00"/>
    <x v="7"/>
    <s v="GT0164"/>
    <s v="FR-400-GT-0178-2022"/>
    <s v="N/A"/>
    <s v="Soporte técnico requerido para la operación, administración y manejo de la plataforma, incluyendo transferencia de conocimiento hacia el personal encargado de Zabbix en EMCALI EICE ESP"/>
    <n v="129108545"/>
    <m/>
    <s v="900-IP-0434-2022"/>
    <s v="IP-"/>
    <n v="202205066"/>
    <m/>
    <s v="N/A"/>
    <s v="N/A"/>
    <s v="N/A"/>
    <x v="2"/>
    <s v="JULIETA ORTIZ"/>
    <d v="2022-07-19T00:00:00"/>
    <e v="#VALUE!"/>
    <e v="#VALUE!"/>
    <s v="NO"/>
    <s v="Devuelto"/>
    <x v="2"/>
    <m/>
    <s v="2 DE AGOSTO EN COTIZACIONES"/>
    <d v="2022-12-05T00:00:00"/>
    <x v="5"/>
    <s v="dic"/>
    <n v="140"/>
    <n v="139"/>
    <x v="3"/>
    <s v="FUNCIONAMIENTO"/>
    <x v="0"/>
    <m/>
    <m/>
    <m/>
    <m/>
    <m/>
    <m/>
    <m/>
    <m/>
    <m/>
    <m/>
    <m/>
    <m/>
    <m/>
    <m/>
    <x v="1"/>
    <m/>
    <m/>
  </r>
  <r>
    <n v="392"/>
    <s v="0435"/>
    <x v="5"/>
    <d v="2022-07-19T00:00:00"/>
    <x v="7"/>
    <s v="GHA0270_x000a_GHA0271_x000a_GHA0277_x000a_GHA0278"/>
    <s v="FR-800-GHA-0132-2022_x000a_FR-800-GHA-0142-2022"/>
    <s v="N/A"/>
    <s v="Realizar la compra de dos (2) camperos/Suv 4x4, 3 o 5 puertas, incluyendo el servicio de diez (10) mantenimientos preventivos para cada vehículo, con las adecuaciones requeridas por EMCALI EICE ESP_x000a_Realizar la compra de un (1) vehículo SUV 4X4 de 5 puertas; incluyendo el servicio de Diez (10) mantenimientos preventivos para el vehículo, con las adecuaciones requeridas por EMCALI EICE ESP"/>
    <n v="226560000"/>
    <s v="28 DE NOVIEMBRE 2022"/>
    <s v="900-IP-0435-2022"/>
    <m/>
    <s v="202201759_x000a_202202081_x000a_202202682_x000a_202202679"/>
    <n v="226560000"/>
    <s v="N/A"/>
    <s v="N/A"/>
    <s v="N/A"/>
    <x v="2"/>
    <s v="LAURA PIMIENTA"/>
    <d v="2022-07-19T00:00:00"/>
    <n v="112"/>
    <n v="112"/>
    <s v="SI"/>
    <s v="Entregado al area"/>
    <x v="1"/>
    <s v="3 DE AGOSTO EN ESPERA DE LA COTIZACION DE LA SUB_x000a_28 DE SPETIEMBRE A LA ESPERA DE LAS POLIZAS"/>
    <m/>
    <d v="2022-10-24T00:00:00"/>
    <x v="12"/>
    <n v="97"/>
    <m/>
    <n v="97"/>
    <x v="6"/>
    <s v="FUNCIONAMIENTO"/>
    <x v="265"/>
    <d v="2022-09-15T00:00:00"/>
    <n v="226014074"/>
    <s v="COLEGAS SAS"/>
    <n v="202208493"/>
    <n v="545926"/>
    <s v="CALI"/>
    <s v="LOCAL"/>
    <m/>
    <m/>
    <m/>
    <m/>
    <m/>
    <m/>
    <n v="2.4096310028248586E-3"/>
    <x v="1"/>
    <n v="1"/>
    <n v="69"/>
  </r>
  <r>
    <n v="393"/>
    <s v="0436"/>
    <x v="1"/>
    <d v="2022-07-21T00:00:00"/>
    <x v="7"/>
    <s v="PENDIENTE"/>
    <s v="FR-500-GE-0197-2022"/>
    <s v="N/A"/>
    <s v="Suministro de Medidores de Energía Electronicos para Medida Directa"/>
    <n v="470442700"/>
    <s v="28 de noviembre 2022"/>
    <s v="900-IP-0436-2022"/>
    <m/>
    <n v="202203902"/>
    <m/>
    <s v="N/A"/>
    <s v="N/A"/>
    <s v="N/A"/>
    <x v="2"/>
    <s v="LINA ECHAVARRIA"/>
    <d v="2022-07-19T00:00:00"/>
    <e v="#VALUE!"/>
    <e v="#VALUE!"/>
    <s v="SI"/>
    <s v="Entregado al area"/>
    <x v="1"/>
    <s v="1 DE AGOSTO EN EVALUACION DE LA OFERTA"/>
    <m/>
    <d v="2022-08-29T00:00:00"/>
    <x v="11"/>
    <m/>
    <n v="39"/>
    <n v="41"/>
    <x v="5"/>
    <s v="OPERACIÓN"/>
    <x v="266"/>
    <d v="2022-08-27T00:00:00"/>
    <n v="344778700"/>
    <s v="RYMEL  INGENIERIA ELECTRICA SAS"/>
    <n v="202207903"/>
    <n v="125664000"/>
    <m/>
    <m/>
    <m/>
    <m/>
    <m/>
    <s v="CALI"/>
    <s v="LOCAL"/>
    <s v="UNIDAD DE CONTROL DE ENERGÍA"/>
    <n v="0.26711860976905372"/>
    <x v="0"/>
    <n v="1"/>
    <n v="27"/>
  </r>
  <r>
    <n v="394"/>
    <s v="0437"/>
    <x v="2"/>
    <d v="2022-07-21T00:00:00"/>
    <x v="7"/>
    <s v="PENDIENTE"/>
    <s v="FR-300-GAA-0122-2022"/>
    <s v="N/A"/>
    <s v="Suministro e instalación de generador Planta Puerto Mallarino"/>
    <n v="589996150"/>
    <s v="45 DIAS"/>
    <s v="900-IP-0437-2022"/>
    <m/>
    <n v="202202190"/>
    <m/>
    <s v="N/A"/>
    <s v="N/A"/>
    <s v="N/A"/>
    <x v="2"/>
    <s v="LINA ECHAVARRIA"/>
    <d v="2022-07-21T00:00:00"/>
    <n v="55"/>
    <n v="55"/>
    <s v="SI"/>
    <s v="Entregado al area"/>
    <x v="1"/>
    <s v="1 DE AGOSTO EN EVALUACION DE LA OFERTA"/>
    <m/>
    <d v="2022-08-19T00:00:00"/>
    <x v="1"/>
    <m/>
    <n v="29"/>
    <n v="29"/>
    <x v="5"/>
    <s v="INVERSION"/>
    <x v="267"/>
    <d v="2022-08-11T00:00:00"/>
    <n v="589750704"/>
    <s v="STEWART &amp; STEVENSON DE LAS AMERICAS COLOMBIA LTDA"/>
    <n v="202207759"/>
    <n v="245446"/>
    <m/>
    <m/>
    <m/>
    <m/>
    <m/>
    <s v="YUMBO"/>
    <s v="MUNICIPAL"/>
    <s v="UNIDAD DE MANTENIMIENTO"/>
    <n v="4.1601288415187118E-4"/>
    <x v="0"/>
    <n v="1"/>
    <n v="21"/>
  </r>
  <r>
    <n v="395"/>
    <s v="0438"/>
    <x v="3"/>
    <d v="2022-07-21T00:00:00"/>
    <x v="7"/>
    <s v="GT0162"/>
    <s v="FR-400-GT-0193-2022"/>
    <s v="N/A"/>
    <s v="Mantenimiento preventivo de las antenas de televisión que hacen parte del sistema de adquisición de señal satelital de canales nacionales e internacionales."/>
    <n v="36000000"/>
    <m/>
    <s v="900-IP-0438-2022"/>
    <s v="IP-"/>
    <n v="202205131"/>
    <m/>
    <s v="N/A"/>
    <s v="N/A"/>
    <s v="N/A"/>
    <x v="2"/>
    <s v="JUAN DAVID GOMEZ"/>
    <d v="2022-07-27T00:00:00"/>
    <e v="#VALUE!"/>
    <e v="#VALUE!"/>
    <s v="NO"/>
    <s v="Devuelto"/>
    <x v="2"/>
    <d v="2022-11-16T00:00:00"/>
    <s v="1 de agosto en solciitud de conceptos. 5 DE AGOSTO EN SOLICITUD DE CONCEPTOS._x000a_28 DE SEPTIEMBRE EN COTIZACIONES_x000a_EL PROVEEDOR NO ALCANZA A EJECUTAR EL CONTRATO "/>
    <d v="2022-11-18T00:00:00"/>
    <x v="5"/>
    <s v="nov"/>
    <n v="120"/>
    <n v="114"/>
    <x v="3"/>
    <s v="FUNCIONAMIENTO"/>
    <x v="0"/>
    <m/>
    <m/>
    <m/>
    <m/>
    <m/>
    <m/>
    <m/>
    <m/>
    <m/>
    <m/>
    <m/>
    <m/>
    <m/>
    <m/>
    <x v="1"/>
    <m/>
    <m/>
  </r>
  <r>
    <n v="396"/>
    <s v="0439"/>
    <x v="2"/>
    <d v="2022-07-21T00:00:00"/>
    <x v="7"/>
    <s v="GAA0745"/>
    <s v="FR-300-GAA-0194-2022"/>
    <s v="N/A"/>
    <s v="Compra de equipos de Malacate (cabrestante) mecánico con motor Diesel para Desazolve y/o limpieza de Alcantarillas mediante balde metálico (cuchara de almeja)."/>
    <n v="804190483"/>
    <m/>
    <s v="900-IPU-0439-2022"/>
    <s v="IPU"/>
    <s v="202202789_x000a_202204263"/>
    <m/>
    <s v="N/A"/>
    <s v="N/A"/>
    <s v="N/A"/>
    <x v="0"/>
    <s v="LINA ECHAVARRIA"/>
    <d v="2022-07-27T00:00:00"/>
    <e v="#VALUE!"/>
    <e v="#VALUE!"/>
    <s v="NO"/>
    <s v="Devuelto"/>
    <x v="2"/>
    <m/>
    <s v="1 DE AGOSTO SOLICITUD DE CONCEPTOS"/>
    <d v="2022-09-15T00:00:00"/>
    <x v="5"/>
    <s v="sep"/>
    <n v="56"/>
    <n v="50"/>
    <x v="2"/>
    <s v="FUNCIONAMIENTO"/>
    <x v="0"/>
    <m/>
    <m/>
    <m/>
    <m/>
    <m/>
    <m/>
    <m/>
    <m/>
    <m/>
    <m/>
    <m/>
    <m/>
    <m/>
    <m/>
    <x v="0"/>
    <m/>
    <m/>
  </r>
  <r>
    <n v="397"/>
    <s v="0440"/>
    <x v="2"/>
    <d v="2022-07-21T00:00:00"/>
    <x v="7"/>
    <s v="N/A"/>
    <s v="FR-300-GAA-0196-2022"/>
    <s v="N/A"/>
    <s v="Suministrar de elementos o materiales de ferretería."/>
    <s v="N/A"/>
    <m/>
    <m/>
    <s v=""/>
    <s v="N/A"/>
    <m/>
    <s v="N/A"/>
    <s v="N/A"/>
    <s v="N/A"/>
    <x v="3"/>
    <s v="SIN ASIGNAR"/>
    <m/>
    <e v="#VALUE!"/>
    <e v="#VALUE!"/>
    <m/>
    <s v="Inicio Proceso"/>
    <x v="2"/>
    <m/>
    <s v="LA UENAA RADICO EL PROCESO PERO NO SE ENCONTRO LA CARPETA"/>
    <m/>
    <x v="5"/>
    <s v=""/>
    <n v="-44763"/>
    <n v="0"/>
    <x v="3"/>
    <s v="FUNCIONAMIENTO"/>
    <x v="0"/>
    <m/>
    <m/>
    <m/>
    <m/>
    <m/>
    <m/>
    <m/>
    <m/>
    <m/>
    <m/>
    <m/>
    <m/>
    <m/>
    <m/>
    <x v="0"/>
    <m/>
    <m/>
  </r>
  <r>
    <n v="398"/>
    <s v="0441"/>
    <x v="2"/>
    <d v="2022-07-21T00:00:00"/>
    <x v="7"/>
    <s v="N/A"/>
    <s v="FR-300-GAA-0199-2022"/>
    <s v="N/A"/>
    <s v="Obras civiles y mecánicas para construcción muro de concreto y optimización descarga Estación de Bombeo Guaduales."/>
    <n v="5802473868"/>
    <m/>
    <s v="900-IPU-0441-2022"/>
    <s v="IPU"/>
    <m/>
    <m/>
    <s v="N/A"/>
    <s v="N/A"/>
    <s v="N/A"/>
    <x v="0"/>
    <s v="HAROLD MONDRAGON"/>
    <d v="2022-08-02T00:00:00"/>
    <e v="#VALUE!"/>
    <e v="#VALUE!"/>
    <m/>
    <s v="ELABORACION OFICIO DEVOLUCION "/>
    <x v="2"/>
    <d v="2022-11-30T00:00:00"/>
    <s v="28 DE SEPTIEMBRE EN ELABORACION DE FPA Y CC_x000a_08-11-2022, Proceso que sale en lista de precalificados por segmentos, en revision juridica GAE_x000a_18-11-2022, esta en revision juridica GAE y sale por lista de precalificados, espera info del area si contamos con recursos del fonfo de adaptacion._x000a_24-11-2022, POR INSTRUCCIÓN ASESORES GERENCIA GENERAL PROCESOS QUE NO SE VAN A TRAMITAR HASTA QUE AREA ENTREGUE VF, PROCESOS PARA DEVOLUCION AL AEREA"/>
    <d v="2022-11-30T00:00:00"/>
    <x v="5"/>
    <s v="nov"/>
    <n v="132"/>
    <n v="120"/>
    <x v="3"/>
    <s v="INVERSION"/>
    <x v="0"/>
    <m/>
    <m/>
    <m/>
    <m/>
    <m/>
    <m/>
    <m/>
    <m/>
    <m/>
    <m/>
    <m/>
    <m/>
    <m/>
    <m/>
    <x v="0"/>
    <m/>
    <m/>
  </r>
  <r>
    <n v="399"/>
    <s v="0442"/>
    <x v="2"/>
    <d v="2022-07-21T00:00:00"/>
    <x v="7"/>
    <s v="N/A"/>
    <s v="FR-300-GAA-0200-2022"/>
    <s v="N/A"/>
    <s v="Realizar la interventoría técnica, administrativa, financiera y legal del concreto que surja del proceso, cuyo objeto es realizar la construcción de las obras civiles y mecánicas para construcción de muro de concreto, y optimización descarga Estación de Bombeo Guaduales."/>
    <n v="650432580"/>
    <m/>
    <s v="900-IPU-0442-2022"/>
    <s v="IPU"/>
    <s v="N/A"/>
    <m/>
    <s v="N/A"/>
    <s v="N/A"/>
    <s v="N/A"/>
    <x v="0"/>
    <s v="HAROLD MONDRAGON"/>
    <d v="2022-08-02T00:00:00"/>
    <e v="#VALUE!"/>
    <e v="#VALUE!"/>
    <m/>
    <s v="ELABORACION OFICIO DEVOLUCION "/>
    <x v="2"/>
    <d v="2022-11-30T00:00:00"/>
    <s v="28 DE SEPTIEMBRE EN ELABORACION DE FPA Y CC_x000a_10-11-2022, proceso se entrega para revision FPA Y CC por motivo del levantameinto de suspension contratacion_x000a_24-11-2022, POR INSTRUCCIÓN ASESORES GERENCIA GENERAL PROCESOS QUE NO SE VAN A TRAMITAR HASTA QUE AREA ENTREGUE VF, PROCESOS PARA DEVOLUCION AL AEREA "/>
    <d v="2022-11-30T00:00:00"/>
    <x v="5"/>
    <s v="nov"/>
    <n v="132"/>
    <n v="120"/>
    <x v="3"/>
    <s v="INVERSION"/>
    <x v="0"/>
    <m/>
    <m/>
    <m/>
    <m/>
    <m/>
    <m/>
    <m/>
    <m/>
    <m/>
    <m/>
    <m/>
    <m/>
    <m/>
    <m/>
    <x v="0"/>
    <m/>
    <m/>
  </r>
  <r>
    <n v="400"/>
    <s v="0443"/>
    <x v="2"/>
    <d v="2022-07-21T00:00:00"/>
    <x v="7"/>
    <s v="N/A"/>
    <s v="FR-300-GAA-0201-2022"/>
    <s v="N/A"/>
    <s v="Diseños alcantarillado tramos solicitados por área operativa Grupo 2."/>
    <n v="700000000"/>
    <m/>
    <s v="900-IPU-0443-2022"/>
    <s v="IPU"/>
    <s v="N/A"/>
    <m/>
    <s v="N/A"/>
    <s v="N/A"/>
    <s v="N/A"/>
    <x v="0"/>
    <s v="HAROLD MONDRAGON"/>
    <d v="2022-08-03T00:00:00"/>
    <e v="#VALUE!"/>
    <e v="#VALUE!"/>
    <m/>
    <s v="ELABORACION OFICIO DEVOLUCION "/>
    <x v="2"/>
    <d v="2022-11-30T00:00:00"/>
    <s v="28 DE SEPTIEMBRE EN ELABORACION DE FPA Y CC_x000a_10-11-2022, proceso se entrega para revision FPA Y CC por motivo del levantameinto de suspension contratacion _x000a_18-11-2022, en revision sale por lista de precalificados_x000a_24-11-2022, POR INSTRUCCIÓN ASESORES GERENCIA GENERAL PROCESOS QUE NO SE VAN A TRAMITAR HASTA QUE AREA ENTREGUE VF, PROCESOS PARA DEVOLUCION AL AEREA"/>
    <d v="2022-11-30T00:00:00"/>
    <x v="5"/>
    <s v="nov"/>
    <n v="132"/>
    <n v="119"/>
    <x v="3"/>
    <s v="INVERSION"/>
    <x v="0"/>
    <m/>
    <m/>
    <m/>
    <m/>
    <m/>
    <m/>
    <m/>
    <m/>
    <m/>
    <m/>
    <m/>
    <m/>
    <m/>
    <m/>
    <x v="0"/>
    <m/>
    <m/>
  </r>
  <r>
    <n v="401"/>
    <s v="0444"/>
    <x v="2"/>
    <d v="2022-07-21T00:00:00"/>
    <x v="7"/>
    <s v="N/A"/>
    <s v="FR-300-GAA-0202-2022"/>
    <s v="N/A"/>
    <s v="Consultoría para adelantar investigación con circuito cerrado de televisión (CCTV) y evaluación de interceptores y colectores secundarios sanitarios y combinados en sistema de drenaje de la Ciudad de Cali."/>
    <n v="1000000000"/>
    <m/>
    <s v="900-IPU-0444-2022"/>
    <s v="IPU"/>
    <s v="N/A"/>
    <m/>
    <s v="N/A"/>
    <s v="N/A"/>
    <s v="N/A"/>
    <x v="0"/>
    <s v="HAROLD MONDRAGON"/>
    <d v="2022-08-03T00:00:00"/>
    <e v="#VALUE!"/>
    <e v="#VALUE!"/>
    <m/>
    <s v="ELABORACION OFICIO DEVOLUCION "/>
    <x v="2"/>
    <d v="2022-11-30T00:00:00"/>
    <s v="3 de agosto reasignado a harold mondragon_x000a_28 DE SEPTIEMBRE EN ELABORACION DE FPA Y CC_x000a_10-11-2022, proceso se enttrega para revision _x000a_18-11-2022, en revision y sale por lista de precalificados_x000a_24-11-2022, POR INSTRUCCIÓN ASESORES GERENCIA GENERAL PROCESOS QUE NO SE VAN A TRAMITAR HASTA QUE AREA ENTREGUE VF, PROCESOS PARA DEVOLUCION AL AEREA "/>
    <d v="2022-11-30T00:00:00"/>
    <x v="5"/>
    <s v="nov"/>
    <n v="132"/>
    <n v="119"/>
    <x v="3"/>
    <s v="INVERSION"/>
    <x v="0"/>
    <m/>
    <m/>
    <m/>
    <m/>
    <m/>
    <m/>
    <m/>
    <m/>
    <m/>
    <m/>
    <m/>
    <m/>
    <m/>
    <m/>
    <x v="0"/>
    <m/>
    <m/>
  </r>
  <r>
    <n v="402"/>
    <s v="0445"/>
    <x v="2"/>
    <d v="2022-07-21T00:00:00"/>
    <x v="7"/>
    <s v="PRECALIF"/>
    <s v="FR-300-GAA-0203-2022"/>
    <s v="N/A"/>
    <s v="Reposición redes tramos criticos Acueducto y Alcantarillado sectores varios."/>
    <s v="N/A"/>
    <m/>
    <s v="900-IPU-0445-2022"/>
    <s v="IPU"/>
    <s v="N/A"/>
    <m/>
    <s v="N/A"/>
    <s v="N/A"/>
    <s v="N/A"/>
    <x v="0"/>
    <s v="HAROLD MONDRAGON"/>
    <d v="2022-07-29T00:00:00"/>
    <e v="#VALUE!"/>
    <e v="#VALUE!"/>
    <m/>
    <s v="ELABORACION OFICIO DEVOLUCION "/>
    <x v="2"/>
    <d v="2022-11-30T00:00:00"/>
    <s v="1 de agosto en solicitud de conceptos_x000a_28 DE SEPTIEMBRE EN ELABORACION DE FPA Y CC_x000a_08-11-2022, se encuentra en lista de precalificados por segmentos, en revision juridica de la GAE"/>
    <d v="2022-11-30T00:00:00"/>
    <x v="5"/>
    <s v="nov"/>
    <n v="132"/>
    <n v="124"/>
    <x v="3"/>
    <s v="INVERSION"/>
    <x v="0"/>
    <m/>
    <m/>
    <m/>
    <m/>
    <m/>
    <m/>
    <m/>
    <m/>
    <m/>
    <m/>
    <m/>
    <m/>
    <m/>
    <m/>
    <x v="0"/>
    <m/>
    <m/>
  </r>
  <r>
    <n v="403"/>
    <s v="0446"/>
    <x v="2"/>
    <d v="2022-07-21T00:00:00"/>
    <x v="7"/>
    <s v="N/A"/>
    <s v="FR-300-GAA-0204-2022"/>
    <s v="N/A"/>
    <s v="Obras de control de Aguas Lluvias y de Escorentía Microcuenca Monaco y Obras de estabilización de Laderas CDI La Estrella."/>
    <n v="1868276989"/>
    <m/>
    <s v="900-IPU-0446-2022"/>
    <s v="IPU"/>
    <s v="N/A"/>
    <m/>
    <s v="N/A"/>
    <s v="N/A"/>
    <s v="N/A"/>
    <x v="0"/>
    <s v="HAROLD MONDRAGON"/>
    <d v="2022-08-02T00:00:00"/>
    <e v="#VALUE!"/>
    <e v="#VALUE!"/>
    <m/>
    <s v="ELABORACION OFICIO DEVOLUCION "/>
    <x v="2"/>
    <d v="2022-11-30T00:00:00"/>
    <s v="28 DE SEPTIEMBRE EN ELABORACION DE FPA Y CC_x000a_09-11-2022, Revision FPA Y CC en juridico GAE_x000a_18-11-2022, revisado por asesora GAE con observaciones y pasar a direccion juridica _x000a_24-11-2022, POR INSTRUCCIÓN ASESORES GERENCIA GENERAL PROCESOS QUE NO SE VAN A TRAMITAR HASTA QUE AREA ENTREGUE VF, PROCESOS PARA DEVOLUCION AL AEREA"/>
    <d v="2022-11-30T00:00:00"/>
    <x v="5"/>
    <s v="nov"/>
    <n v="132"/>
    <n v="120"/>
    <x v="3"/>
    <s v="INVERSION"/>
    <x v="0"/>
    <m/>
    <m/>
    <m/>
    <m/>
    <m/>
    <m/>
    <m/>
    <m/>
    <m/>
    <m/>
    <m/>
    <m/>
    <m/>
    <m/>
    <x v="0"/>
    <m/>
    <m/>
  </r>
  <r>
    <n v="404"/>
    <s v="0447"/>
    <x v="2"/>
    <d v="2022-07-21T00:00:00"/>
    <x v="7"/>
    <s v="N/A"/>
    <s v="FR-300-GAA-0205-2022"/>
    <s v="N/A"/>
    <s v="Rehabilitación y/o reparación canales y colectores sectores varios Grupo 3 - Losas Canal Carrera 39E"/>
    <n v="720000000"/>
    <m/>
    <s v="900-IPU-0447-2022"/>
    <s v="IPU"/>
    <s v="N/A"/>
    <m/>
    <s v="N/A"/>
    <s v="N/A"/>
    <s v="N/A"/>
    <x v="0"/>
    <s v="HAROLD MONDRAGON"/>
    <d v="2022-08-02T00:00:00"/>
    <e v="#VALUE!"/>
    <e v="#VALUE!"/>
    <m/>
    <s v="ELABORACION OFICIO DEVOLUCION "/>
    <x v="2"/>
    <d v="2022-11-30T00:00:00"/>
    <s v="28 DE SEPTIEMBRE EN ELABORACION DE FPA Y CC_x000a_10-11-2022, se entrega a juridico de la GAE_x000a_24-11-2022, POR INSTRUCCIÓN ASESORES GERENCIA GENERAL PROCESOS QUE NO SE VAN A TRAMITAR HASTA QUE AREA ENTREGUE VF, PROCESOS PARA DEVOLUCION AL AEREA"/>
    <d v="2022-11-30T00:00:00"/>
    <x v="5"/>
    <s v="nov"/>
    <n v="132"/>
    <n v="120"/>
    <x v="3"/>
    <s v="INVERSION"/>
    <x v="0"/>
    <m/>
    <m/>
    <m/>
    <m/>
    <m/>
    <m/>
    <m/>
    <m/>
    <m/>
    <m/>
    <m/>
    <m/>
    <m/>
    <m/>
    <x v="0"/>
    <m/>
    <m/>
  </r>
  <r>
    <n v="405"/>
    <s v="0448"/>
    <x v="1"/>
    <d v="2022-07-21T00:00:00"/>
    <x v="7"/>
    <s v="GE0335"/>
    <s v="FR-500-GE-0217-2022"/>
    <s v="500-CMA-1743-2021"/>
    <s v="Suministro de Cables y/o alambres para la conducción de energía y prestación de servicios de telecomunicaciones, de acuerdo con las condiciones , especificaciones técnicas y formulario de í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260921304"/>
    <s v="45 DIAS"/>
    <s v="N/A"/>
    <m/>
    <n v="202204350"/>
    <n v="260921304"/>
    <s v="N/A"/>
    <s v="N/A"/>
    <s v="N/A"/>
    <x v="1"/>
    <s v="ESTEFANIA SANCHEZ"/>
    <d v="2022-07-22T00:00:00"/>
    <e v="#VALUE!"/>
    <e v="#VALUE!"/>
    <s v="SI"/>
    <s v="Entregado al area"/>
    <x v="1"/>
    <m/>
    <m/>
    <d v="2022-09-14T00:00:00"/>
    <x v="11"/>
    <m/>
    <n v="55"/>
    <n v="54"/>
    <x v="0"/>
    <s v="FUNCIONAMIENTO"/>
    <x v="268"/>
    <d v="2022-08-25T00:00:00"/>
    <n v="247875096"/>
    <s v="CABLES DE ENERGIA Y TELECOMUNICACIONES SA"/>
    <m/>
    <n v="13046208"/>
    <m/>
    <m/>
    <m/>
    <m/>
    <m/>
    <s v="YUMBO"/>
    <s v="MUNICIPAL"/>
    <s v="UNIDAD DE MANTENIMIENTO"/>
    <n v="5.0000547291454589E-2"/>
    <x v="0"/>
    <n v="0"/>
    <n v="55"/>
  </r>
  <r>
    <n v="406"/>
    <s v="0449"/>
    <x v="2"/>
    <d v="2022-07-21T00:00:00"/>
    <x v="7"/>
    <s v="GAA0721"/>
    <s v="FR-300-GAA-0195-2022"/>
    <s v="300-CMA-1974-2020"/>
    <s v="Suministro de materiales de ferretería asociados con la ejecución de acometidas de acueducto afines para EMCALI EICE ESP."/>
    <n v="1669573522"/>
    <s v="18 DE NOVIEMBRE 2022"/>
    <s v="N/A"/>
    <m/>
    <n v="202204475"/>
    <n v="1669573522"/>
    <s v="N/A"/>
    <s v="N/A"/>
    <s v="N/A"/>
    <x v="1"/>
    <s v="LUCY ARBELAEZ"/>
    <d v="2022-07-22T00:00:00"/>
    <n v="55"/>
    <n v="54"/>
    <s v="SI"/>
    <s v="Entregado al area"/>
    <x v="1"/>
    <s v="2 DE AGOSTO EN INVITACION A OFERTAR"/>
    <m/>
    <d v="2022-08-31T00:00:00"/>
    <x v="1"/>
    <m/>
    <n v="41"/>
    <n v="40"/>
    <x v="0"/>
    <s v="OPERACIÓN"/>
    <x v="269"/>
    <d v="2022-08-24T00:00:00"/>
    <n v="1604867981"/>
    <s v="EQUIPO Y HERRAMIENTAS INDUSTRIALES"/>
    <s v="202207907_x000a_202207902"/>
    <n v="64705541"/>
    <m/>
    <m/>
    <m/>
    <m/>
    <m/>
    <m/>
    <m/>
    <s v="UNIDAD DE SOPORTE OPERATIVO"/>
    <n v="3.8755730219348798E-2"/>
    <x v="0"/>
    <n v="0"/>
    <n v="41"/>
  </r>
  <r>
    <n v="407"/>
    <s v="0450"/>
    <x v="2"/>
    <d v="2022-07-21T00:00:00"/>
    <x v="7"/>
    <s v="GAA0760"/>
    <s v="FR-300-GAA-0197-2022"/>
    <s v="N/A"/>
    <s v="Acompañamiento en Geotecnia incluyendo asesorías, trabajos de campo, ensayos de Laboratorio e informes tecnicos requeridos para el desarrollo de evaluaciones Geotecnicas 2022"/>
    <n v="99967140"/>
    <m/>
    <s v="900-IP-0450-2022"/>
    <s v="IP-"/>
    <n v="202201991"/>
    <m/>
    <s v="N/A"/>
    <s v="N/A"/>
    <s v="N/A"/>
    <x v="2"/>
    <s v="LINA ECHAVARRIA"/>
    <d v="2022-07-27T00:00:00"/>
    <e v="#VALUE!"/>
    <e v="#VALUE!"/>
    <s v="NO"/>
    <s v="Devuelto"/>
    <x v="2"/>
    <m/>
    <s v="1 DE AGOSTO SOLICITUD DE CONCEPTOS"/>
    <d v="2022-09-15T00:00:00"/>
    <x v="5"/>
    <s v="sep"/>
    <n v="56"/>
    <n v="50"/>
    <x v="2"/>
    <s v="FUNCIONAMIENTO"/>
    <x v="0"/>
    <m/>
    <m/>
    <m/>
    <m/>
    <m/>
    <m/>
    <m/>
    <m/>
    <m/>
    <m/>
    <m/>
    <m/>
    <m/>
    <m/>
    <x v="0"/>
    <m/>
    <m/>
  </r>
  <r>
    <n v="408"/>
    <s v="0451"/>
    <x v="2"/>
    <d v="2022-07-21T00:00:00"/>
    <x v="7"/>
    <s v="GAA0759"/>
    <s v="FR-300-GAA-0198-2022"/>
    <s v="N/A"/>
    <s v="Levantamientos Planimetricos y Altimetricos Topograficos año 2022, para proyectos priorizados GUENAA de Acuaducto y Alcantarillado."/>
    <n v="119994840"/>
    <m/>
    <s v="900-IP-0451-2022"/>
    <s v="IP-"/>
    <n v="202201992"/>
    <m/>
    <s v="N/A"/>
    <s v="N/A"/>
    <s v="N/A"/>
    <x v="2"/>
    <s v="LINA ECHAVARRIA"/>
    <d v="2022-07-27T00:00:00"/>
    <e v="#VALUE!"/>
    <e v="#VALUE!"/>
    <s v="NO"/>
    <s v="Cerrado"/>
    <x v="0"/>
    <m/>
    <s v="1 DE AGOSTO SOLICITUD DE CONCEPTOS"/>
    <d v="2022-09-30T00:00:00"/>
    <x v="5"/>
    <s v="sep"/>
    <n v="71"/>
    <n v="65"/>
    <x v="3"/>
    <s v="FUNCIONAMIENTO"/>
    <x v="0"/>
    <m/>
    <m/>
    <m/>
    <m/>
    <m/>
    <m/>
    <m/>
    <m/>
    <m/>
    <m/>
    <m/>
    <m/>
    <m/>
    <m/>
    <x v="0"/>
    <m/>
    <m/>
  </r>
  <r>
    <n v="409"/>
    <s v="0452"/>
    <x v="2"/>
    <d v="2022-07-21T00:00:00"/>
    <x v="7"/>
    <s v="GAA0300"/>
    <s v="FR-300-GAA-0206-2022"/>
    <s v="N/A"/>
    <s v="Realizar el mantenimiento de los equipos menores de la Unidad de Atención Operativa."/>
    <n v="470000000"/>
    <s v="31 DE DICIEMBRE 2022"/>
    <s v="900-IP-0452-2022"/>
    <m/>
    <n v="202204480"/>
    <n v="470000000"/>
    <s v="N/A"/>
    <s v="N/A"/>
    <s v="N/A"/>
    <x v="2"/>
    <s v="HAROLD MONDRAGON"/>
    <d v="2022-07-29T00:00:00"/>
    <e v="#VALUE!"/>
    <e v="#VALUE!"/>
    <s v="SI"/>
    <s v="Entregado al area"/>
    <x v="1"/>
    <s v="1 de agosto en solicitud de conceptos"/>
    <m/>
    <d v="2022-09-09T00:00:00"/>
    <x v="11"/>
    <m/>
    <n v="50"/>
    <n v="42"/>
    <x v="2"/>
    <s v="FUNCIONAMIENTO"/>
    <x v="270"/>
    <d v="2022-09-02T00:00:00"/>
    <n v="469113156"/>
    <s v="TALLERES BRIG LTDA"/>
    <n v="202208320"/>
    <n v="886844"/>
    <m/>
    <m/>
    <m/>
    <m/>
    <m/>
    <s v="CALI"/>
    <s v="LOCAL"/>
    <s v="UNIDAD DE ATENCIÓN OPERATIVA"/>
    <n v="1.8869021276595745E-3"/>
    <x v="0"/>
    <n v="1"/>
    <n v="36"/>
  </r>
  <r>
    <n v="410"/>
    <s v="0453"/>
    <x v="2"/>
    <d v="2022-07-21T00:00:00"/>
    <x v="7"/>
    <s v="PENDIENTE"/>
    <s v="FR-300-GAA-0067-2022"/>
    <s v="N/A"/>
    <s v="Mantenimiento a Equipos Electrogenos marca Cummins pertenecientes a las Estaciones de Bombeo de Aguas Lluvias y/o Residuales."/>
    <n v="149539291"/>
    <s v="18 DE NOVIEMBRE 2022"/>
    <s v="900-IP-0453-2022"/>
    <m/>
    <n v="202201834"/>
    <m/>
    <s v="N/A"/>
    <s v="N/A"/>
    <s v="N/A"/>
    <x v="2"/>
    <s v="ANA MARIA GIL"/>
    <d v="2022-08-04T00:00:00"/>
    <n v="55"/>
    <n v="41"/>
    <s v="SI"/>
    <s v="Entregado al area"/>
    <x v="1"/>
    <s v="2 DE AGOSTO SE ASIGNARA A OTRO GESTOR 4 DE AGOSTO REASIGNADO A ANA MARIA GIL Y SE ENCUENTRA EN INVITACION A OFERTAR"/>
    <m/>
    <d v="2022-08-31T00:00:00"/>
    <x v="1"/>
    <m/>
    <n v="41"/>
    <n v="27"/>
    <x v="2"/>
    <s v="FUNCIONAMIENTO"/>
    <x v="271"/>
    <d v="2022-08-10T00:00:00"/>
    <n v="149539291"/>
    <s v="TECNODIESEL SAS"/>
    <n v="202207799"/>
    <n v="0"/>
    <m/>
    <m/>
    <m/>
    <m/>
    <m/>
    <s v="YUMBO"/>
    <s v="MUNICIPAL"/>
    <s v="UNIDAD DE BOMBEO"/>
    <n v="0"/>
    <x v="0"/>
    <n v="1"/>
    <n v="29"/>
  </r>
  <r>
    <n v="411"/>
    <s v="0454"/>
    <x v="6"/>
    <d v="2022-07-22T00:00:00"/>
    <x v="7"/>
    <s v="PENDIENTE"/>
    <s v="FR-200-GTI-0104-2022"/>
    <s v="N/A"/>
    <s v="Suscripción por un año, para obtener los servicios de soporte remoto, solución de fallas, actualización de software parches de seguridad entre otros sobre licenciamiento Liferay que soporta el portal y la Intranet de EMCALI"/>
    <n v="295048440"/>
    <s v="28 de noviembre 2022"/>
    <s v="900-IP-0454-2022"/>
    <m/>
    <s v="202201910_x000a_202203591"/>
    <n v="295048440"/>
    <s v="N/A"/>
    <s v="N/A"/>
    <s v="N/A"/>
    <x v="2"/>
    <s v="PAOLA BELTRAN"/>
    <d v="2022-07-22T00:00:00"/>
    <n v="54"/>
    <n v="54"/>
    <s v="SI"/>
    <s v="Entregado al area"/>
    <x v="1"/>
    <s v="1 DE AGOSTO EN RECEPCION DE COTIZACIONES"/>
    <m/>
    <d v="2022-08-26T00:00:00"/>
    <x v="1"/>
    <m/>
    <n v="35"/>
    <n v="35"/>
    <x v="2"/>
    <s v="FUNCIONAMIENTO"/>
    <x v="272"/>
    <d v="2022-08-23T00:00:00"/>
    <n v="279925485"/>
    <s v="ENTELGY COLOMBIA  SAS"/>
    <n v="202207894"/>
    <n v="15122955"/>
    <m/>
    <m/>
    <m/>
    <m/>
    <m/>
    <s v="BOGOTA"/>
    <s v="LOCAL"/>
    <s v="GTI"/>
    <n v="5.1255837854963751E-2"/>
    <x v="1"/>
    <n v="1"/>
    <n v="25"/>
  </r>
  <r>
    <n v="412"/>
    <s v="0455"/>
    <x v="1"/>
    <d v="2022-07-22T00:00:00"/>
    <x v="7"/>
    <s v="PENDIENTE"/>
    <s v="FR-500-GE-0116-2022"/>
    <s v="N/A"/>
    <s v="Calibración de equipos de prueba de medidores - EPM y un patrón Trifásico Multifunción, en la magnitud de energía eléctrica"/>
    <n v="62492850"/>
    <s v="90 dias"/>
    <s v="900-IP-0455-2022"/>
    <m/>
    <n v="202201684"/>
    <m/>
    <s v="N/A"/>
    <s v="N/A"/>
    <s v="N/A"/>
    <x v="2"/>
    <s v="LINA ECHAVARRIA"/>
    <d v="2022-07-22T00:00:00"/>
    <n v="54"/>
    <n v="54"/>
    <s v="SI"/>
    <s v="Entregado al area"/>
    <x v="1"/>
    <s v="1 DE AGOSTO EN INVITACION A OFERTAR"/>
    <m/>
    <d v="2022-08-22T00:00:00"/>
    <x v="1"/>
    <m/>
    <n v="31"/>
    <n v="31"/>
    <x v="2"/>
    <s v="FUNCIONAMIENTO"/>
    <x v="273"/>
    <d v="2022-08-08T00:00:00"/>
    <n v="62490471"/>
    <s v="DIGITRON LIMITADA"/>
    <n v="202207847"/>
    <n v="2379"/>
    <m/>
    <m/>
    <m/>
    <m/>
    <m/>
    <s v="BOGOTA"/>
    <s v="LOCAL"/>
    <s v="UNIDAD DE SERVICIOS COMPLEMENTARIOS"/>
    <n v="3.8068355019814269E-5"/>
    <x v="0"/>
    <n v="1"/>
    <n v="21"/>
  </r>
  <r>
    <n v="413"/>
    <s v="0456"/>
    <x v="5"/>
    <d v="2022-07-22T00:00:00"/>
    <x v="7"/>
    <s v="GHA0262"/>
    <s v="FR-800-GHA-0175-2022"/>
    <s v="800-CMA-1914-2021"/>
    <s v="Realizar las actividades necesarias para llevar a cabo las adecuaciones locativas y mantenimiento preventivos y correctivos en la Gerencia Estrategica de Negocio de Acueducto y Alcantarillado - Reparación Cubiertas Planta PTAR-C"/>
    <n v="299978782"/>
    <s v="31 DE DICIEMBRE 2022"/>
    <s v="N/A"/>
    <m/>
    <n v="202202408"/>
    <n v="300000000"/>
    <s v="N/A"/>
    <s v="N/A"/>
    <s v="N/A"/>
    <x v="1"/>
    <s v="ESTEFANIA SANCHEZ"/>
    <d v="2022-07-22T00:00:00"/>
    <e v="#VALUE!"/>
    <e v="#VALUE!"/>
    <s v="SI"/>
    <s v="Entregado al area"/>
    <x v="1"/>
    <m/>
    <m/>
    <d v="2022-09-13T00:00:00"/>
    <x v="11"/>
    <m/>
    <n v="53"/>
    <n v="53"/>
    <x v="0"/>
    <s v="FUNCIONAMIENTO"/>
    <x v="274"/>
    <d v="2022-09-07T00:00:00"/>
    <n v="284979354"/>
    <s v="MAURICIO TABARES OSSA"/>
    <m/>
    <n v="14999428"/>
    <m/>
    <m/>
    <m/>
    <m/>
    <m/>
    <s v="CALI"/>
    <s v="LOCAL"/>
    <s v="UNIDAD DE GESTION ADMINISTRATIVA"/>
    <n v="5.0001629781935709E-2"/>
    <x v="1"/>
    <n v="0"/>
    <n v="53"/>
  </r>
  <r>
    <n v="414"/>
    <s v="0457"/>
    <x v="5"/>
    <d v="2022-07-22T00:00:00"/>
    <x v="7"/>
    <s v="GHA0068"/>
    <s v="FR-800-GHA-0156-2022"/>
    <s v="N/A"/>
    <s v="Realizar la compra de Café y Azúcar para el cumplimiento de las funciones administrativas propias de EMCALI EICE ESP."/>
    <n v="118510110"/>
    <m/>
    <s v="900-IP-0457-2022"/>
    <s v="IP-"/>
    <s v="202204454_x000a_202203557_x000a_202203532_x000a_202203531_x000a_202203533"/>
    <m/>
    <s v="N/A"/>
    <s v="N/A"/>
    <s v="N/A"/>
    <x v="2"/>
    <s v="ANA MARIA GIL"/>
    <d v="2022-08-04T00:00:00"/>
    <e v="#VALUE!"/>
    <e v="#VALUE!"/>
    <s v="NO"/>
    <s v="Devuelto"/>
    <x v="2"/>
    <m/>
    <s v="2 DE AGOSTO SE ASIGNARA A OTRO GESTOR 4 DE AGOSTO REASIGNADO A ANA MARIA GIL Y SE ENCUENTRA EN SOLICITUD DE CONCEPTOS_x000a_18 de agosto en espra de informacion por parte del area para modificar cantidades porque las cotizacion rebasaron el presupuesto_x000a_"/>
    <d v="2022-09-15T00:00:00"/>
    <x v="5"/>
    <s v="sep"/>
    <n v="55"/>
    <n v="42"/>
    <x v="2"/>
    <s v="FUNCIONAMIENTO"/>
    <x v="0"/>
    <m/>
    <m/>
    <m/>
    <m/>
    <m/>
    <m/>
    <m/>
    <m/>
    <m/>
    <m/>
    <m/>
    <m/>
    <m/>
    <m/>
    <x v="1"/>
    <m/>
    <m/>
  </r>
  <r>
    <n v="415"/>
    <s v="0458"/>
    <x v="5"/>
    <d v="2022-07-22T00:00:00"/>
    <x v="7"/>
    <s v="GHA0261"/>
    <s v="FR-800-GHA-0174-2022"/>
    <s v="800-CMA-1914-2021"/>
    <s v="Realizar las actividades necesarias para llevar a cabo las adecuaciones locativas y mantenimiento preventivos y correctivos en la Gerencia Estrategica de Negocio de Acueducto y Alcantarillado - Mantenimiento de cubierta y construcción de filtros Sede Alcantarillado."/>
    <n v="570074465"/>
    <s v="31 DE DICIEMBRE 2022"/>
    <s v="N/A"/>
    <m/>
    <s v="202203916_x000a_202203917"/>
    <n v="570074465"/>
    <s v="N/A"/>
    <s v="N/A"/>
    <s v="N/A"/>
    <x v="1"/>
    <s v="ESTEFANIA SANCHEZ"/>
    <d v="2022-07-22T00:00:00"/>
    <e v="#VALUE!"/>
    <e v="#VALUE!"/>
    <s v="SI"/>
    <s v="Entregado al area"/>
    <x v="1"/>
    <m/>
    <m/>
    <d v="2022-09-20T00:00:00"/>
    <x v="11"/>
    <m/>
    <n v="60"/>
    <n v="60"/>
    <x v="0"/>
    <s v="FUNCIONAMIENTO"/>
    <x v="275"/>
    <d v="2022-09-07T00:00:00"/>
    <n v="541573954"/>
    <s v=" Unión Temporal M&amp;C2021"/>
    <n v="202208356"/>
    <n v="28500511"/>
    <m/>
    <m/>
    <m/>
    <m/>
    <m/>
    <s v="CALI"/>
    <s v="LOCAL"/>
    <s v="UNIDAD DE GESTION ADMINISTRATIVA"/>
    <n v="4.9994365209815178E-2"/>
    <x v="1"/>
    <n v="0"/>
    <n v="60"/>
  </r>
  <r>
    <n v="416"/>
    <s v="0459"/>
    <x v="1"/>
    <d v="2022-07-22T00:00:00"/>
    <x v="7"/>
    <s v="PENDIENTE"/>
    <s v="FR-500-GE-0197-2022"/>
    <s v="N/A"/>
    <s v="Suministro de Medidores de Energía Electronicos para Medida Directa"/>
    <n v="667336173"/>
    <s v="28 de noviembre 2022"/>
    <s v="900-IP-0459-2022"/>
    <m/>
    <n v="202203902"/>
    <m/>
    <s v="N/A"/>
    <s v="N/A"/>
    <s v="N/A"/>
    <x v="2"/>
    <s v="LINA ECHAVARRIA"/>
    <d v="2022-07-22T00:00:00"/>
    <n v="54"/>
    <n v="54"/>
    <s v="SI"/>
    <s v="Entregado al area"/>
    <x v="1"/>
    <s v="1 DE AGOSTO EN EVALUACION DE LA OFERTA"/>
    <m/>
    <d v="2022-08-17T00:00:00"/>
    <x v="1"/>
    <m/>
    <n v="26"/>
    <n v="26"/>
    <x v="5"/>
    <s v="OPERACIÓN"/>
    <x v="276"/>
    <s v="03/08/2022_x000a_27/08/2022"/>
    <n v="667221076"/>
    <s v="INELCA SAS_x000a_RYMEL  INGENIERIA ELECTRICA SAS"/>
    <n v="202207671"/>
    <n v="115097"/>
    <m/>
    <m/>
    <m/>
    <m/>
    <m/>
    <s v="CALI"/>
    <s v="LOCAL"/>
    <s v="UNIDAD DE CONTROL DE ENERGÍA"/>
    <n v="1.724722930612065E-4"/>
    <x v="0"/>
    <n v="1"/>
    <n v="18"/>
  </r>
  <r>
    <n v="417"/>
    <s v="0460"/>
    <x v="0"/>
    <d v="2022-07-25T00:00:00"/>
    <x v="7"/>
    <s v="GT0186_x000a_GT0170"/>
    <s v="FR-400-GT-0150-2022"/>
    <s v="N/A"/>
    <s v="Adquirir equipos para radio enlaces en las bandas de frecuencia no licenciada para ampliar la red de acceso inalámbrica."/>
    <n v="280179462"/>
    <s v="28 DE NOVIEMBRE 2022"/>
    <s v="900-IP-0460-2022"/>
    <m/>
    <s v="202204426_x000a_202202413"/>
    <n v="250000000"/>
    <s v="N/A"/>
    <s v="N/A"/>
    <s v="N/A"/>
    <x v="2"/>
    <s v="HAROLD MONDRAGON"/>
    <d v="2022-07-29T00:00:00"/>
    <e v="#VALUE!"/>
    <e v="#VALUE!"/>
    <s v="SI"/>
    <s v="Entregado al area"/>
    <x v="1"/>
    <s v="1 de agosto en solicitud de conceptos"/>
    <m/>
    <d v="2022-09-12T00:00:00"/>
    <x v="11"/>
    <m/>
    <n v="49"/>
    <n v="45"/>
    <x v="2"/>
    <s v="INVERSION"/>
    <x v="277"/>
    <d v="2022-09-05T00:00:00"/>
    <n v="280005455"/>
    <s v="MAICROTEL SAS"/>
    <n v="202208316"/>
    <n v="174007"/>
    <m/>
    <m/>
    <m/>
    <m/>
    <m/>
    <s v="BOGOTA"/>
    <s v="NACIONAL"/>
    <s v="SUBGERENCIA OPERATIVA"/>
    <n v="6.2105551476860212E-4"/>
    <x v="0"/>
    <n v="1"/>
    <n v="35"/>
  </r>
  <r>
    <n v="418"/>
    <s v="0461"/>
    <x v="5"/>
    <d v="2022-08-08T00:00:00"/>
    <x v="8"/>
    <s v="GHA0279_x000a_GHA0280"/>
    <s v="FR-800-GAGHA-138-2022"/>
    <s v="N/A"/>
    <s v=" un (1) carrotanque "/>
    <n v="406259000"/>
    <m/>
    <s v="900-IP-0461-2022"/>
    <s v="IP-"/>
    <s v="202202571_x000a_202202573_x000a_202202574_x000a_202202575"/>
    <m/>
    <s v="N/A"/>
    <s v="N/A"/>
    <s v="N/A"/>
    <x v="2"/>
    <s v="LEIDY DIANA FRANCO"/>
    <d v="2022-07-26T00:00:00"/>
    <e v="#VALUE!"/>
    <e v="#VALUE!"/>
    <s v="NO"/>
    <s v="Devuelto"/>
    <x v="2"/>
    <m/>
    <s v="Por presupuesto"/>
    <d v="2022-08-03T00:00:00"/>
    <x v="5"/>
    <s v="ago"/>
    <n v="-5"/>
    <n v="8"/>
    <x v="3"/>
    <s v="FUNCIONAMIENTO"/>
    <x v="0"/>
    <m/>
    <m/>
    <m/>
    <m/>
    <m/>
    <m/>
    <m/>
    <m/>
    <m/>
    <m/>
    <m/>
    <m/>
    <m/>
    <m/>
    <x v="1"/>
    <m/>
    <m/>
  </r>
  <r>
    <n v="419"/>
    <s v="0462"/>
    <x v="1"/>
    <d v="2022-07-26T00:00:00"/>
    <x v="7"/>
    <s v="GE0359"/>
    <s v="FR-500-GE-0224-2022"/>
    <s v="N/A"/>
    <s v="Suministro e instalación de persianas en el Edificio de Telecontrol"/>
    <n v="18199839"/>
    <m/>
    <s v="900-IP-0462-2022"/>
    <s v="IP-"/>
    <n v="202203107"/>
    <m/>
    <s v="N/A"/>
    <s v="N/A"/>
    <s v="N/A"/>
    <x v="2"/>
    <s v="JULIO ERNESTO GARCIA"/>
    <d v="2022-07-27T00:00:00"/>
    <e v="#VALUE!"/>
    <e v="#VALUE!"/>
    <m/>
    <s v="Cerrado"/>
    <x v="0"/>
    <d v="2022-12-22T00:00:00"/>
    <s v="2 de agosto esperando ajuste de las especificaciones de parte del area_x000a_29 DE SEPTIEMBRE EN ESPERA DE LA REVISION DE LA FPA_x000a_12-11-2022, LO TIENE PARA REVISION MARCIA _x000a_22-12-2022,Se realiza Acta de Terminación Anticipada por Mutuo Acuerdo en razón a que el proveedor no alcanza a ejecutar el contrato dentro de la presente vigencia fiscal."/>
    <d v="2022-12-22T00:00:00"/>
    <x v="5"/>
    <s v="dic"/>
    <n v="149"/>
    <n v="148"/>
    <x v="3"/>
    <s v="INVERSION"/>
    <x v="0"/>
    <m/>
    <m/>
    <m/>
    <m/>
    <m/>
    <m/>
    <m/>
    <m/>
    <m/>
    <m/>
    <m/>
    <m/>
    <m/>
    <m/>
    <x v="0"/>
    <m/>
    <m/>
  </r>
  <r>
    <n v="420"/>
    <s v="0463"/>
    <x v="3"/>
    <d v="2022-07-27T00:00:00"/>
    <x v="7"/>
    <s v="GT0164"/>
    <s v="FR-400-GT-0178-2022"/>
    <s v="N/A"/>
    <s v="Soporte técnico requerido para la operación, administración y manejo de la plataforma, incluyendo transferencia de conocimiento hacia el personal encargado de Zabbix en EMCALI EICE ESP"/>
    <n v="129108545"/>
    <m/>
    <s v="900-IP-0463-2022"/>
    <s v="IP-"/>
    <n v="202205066"/>
    <m/>
    <s v="N/A"/>
    <s v="N/A"/>
    <s v="N/A"/>
    <x v="2"/>
    <s v="JULIETA ORTIZ"/>
    <d v="2022-07-27T00:00:00"/>
    <e v="#VALUE!"/>
    <e v="#VALUE!"/>
    <s v="NO"/>
    <s v="Devuelto"/>
    <x v="2"/>
    <m/>
    <s v="2 DE AGOSTO EN COTIZACIONES 5 de agosto en revision de fpa e invitacion"/>
    <d v="2022-08-10T00:00:00"/>
    <x v="5"/>
    <s v="ago"/>
    <n v="14"/>
    <n v="14"/>
    <x v="3"/>
    <s v="FUNCIONAMIENTO"/>
    <x v="0"/>
    <m/>
    <m/>
    <m/>
    <m/>
    <m/>
    <m/>
    <m/>
    <m/>
    <m/>
    <m/>
    <m/>
    <m/>
    <m/>
    <m/>
    <x v="1"/>
    <m/>
    <m/>
  </r>
  <r>
    <n v="421"/>
    <s v="0464"/>
    <x v="0"/>
    <d v="2022-07-27T00:00:00"/>
    <x v="7"/>
    <s v="GT0142"/>
    <s v="FR-400-GT-0175-2022"/>
    <s v="N/A"/>
    <s v="Suministro de gases industriales para soldadura y mantenimiento requeridos para el mantenimiento predictivo, preventivo y correctivo de los equipos de aire acondicionado de las centrales telefónicas de EMCALI EICE ESP"/>
    <n v="5086714"/>
    <m/>
    <s v="900-IP-0464-2022"/>
    <s v="IP-"/>
    <n v="202202928"/>
    <m/>
    <s v="N/A"/>
    <s v="N/A"/>
    <s v="N/A"/>
    <x v="2"/>
    <s v="JULIO ERNESTO GARCIA"/>
    <d v="2022-07-29T00:00:00"/>
    <e v="#VALUE!"/>
    <e v="#VALUE!"/>
    <s v="NO"/>
    <s v="Adjudicacion"/>
    <x v="1"/>
    <d v="2022-11-30T00:00:00"/>
    <s v="2 de agosto en solicitud de conceptos_x000a_29 DE AGOSTO SE CIERRA PORQUE EL PROVEEDOR DESISITIO _x000a_12-11-2022,Pendiente envío póliza de cumplimiento por parte del proveedor"/>
    <d v="2022-11-21T00:00:00"/>
    <x v="13"/>
    <s v="nov"/>
    <n v="117"/>
    <n v="115"/>
    <x v="2"/>
    <s v="FUNCIONAMIENTO"/>
    <x v="278"/>
    <d v="2022-09-15T00:00:00"/>
    <n v="4694074"/>
    <s v="SUMINISTROS E INSUMOS INDUSTRIALES LTDA"/>
    <n v="202208443"/>
    <n v="392640"/>
    <m/>
    <m/>
    <m/>
    <m/>
    <m/>
    <m/>
    <m/>
    <m/>
    <n v="7.7189321043015194E-2"/>
    <x v="0"/>
    <n v="1"/>
    <n v="56"/>
  </r>
  <r>
    <n v="422"/>
    <s v="0465"/>
    <x v="0"/>
    <d v="2022-07-27T00:00:00"/>
    <x v="7"/>
    <s v="GT0145"/>
    <s v="FR-400-GT-0191-2022"/>
    <s v="N/A"/>
    <s v="Suministro de filtros y aceites para el mantenimiento preventivo y correctivo de los equipos activos de las Centrales telefónicas de EMCALI EICE ESP"/>
    <n v="14525687"/>
    <s v="28 DE NOVIEMBRE 2022"/>
    <s v="900-IP-0465-2022"/>
    <m/>
    <n v="202202997"/>
    <m/>
    <s v="N/A"/>
    <s v="N/A"/>
    <s v="N/A"/>
    <x v="2"/>
    <s v="JHON LARRY "/>
    <d v="2022-07-29T00:00:00"/>
    <e v="#VALUE!"/>
    <e v="#VALUE!"/>
    <s v="SI"/>
    <s v="Entregado al area"/>
    <x v="1"/>
    <s v="2 DE AGOSTO EN SOLICITUD DE CONCEPTOS. 5 DE AGOSTO EN COTIZACION"/>
    <m/>
    <d v="2022-09-19T00:00:00"/>
    <x v="11"/>
    <m/>
    <n v="54"/>
    <n v="52"/>
    <x v="2"/>
    <s v="FUNCIONAMIENTO"/>
    <x v="279"/>
    <d v="2022-09-15T00:00:00"/>
    <n v="13762090"/>
    <s v="MUNDIAL DE FILTROS Y ACEITES SAS"/>
    <n v="202208440"/>
    <n v="763597"/>
    <m/>
    <m/>
    <m/>
    <m/>
    <m/>
    <s v="CALI"/>
    <s v="LOCAL"/>
    <s v="SUBGERENCIA OPERATIVA"/>
    <n v="5.2568735647408625E-2"/>
    <x v="0"/>
    <n v="1"/>
    <n v="26"/>
  </r>
  <r>
    <n v="423"/>
    <s v="0466"/>
    <x v="1"/>
    <d v="2022-07-27T00:00:00"/>
    <x v="7"/>
    <s v="GE0281"/>
    <s v="FR-500-GE-0220-2022"/>
    <s v="N/A"/>
    <s v="Suministro de Vehículos 100% eléctricos con base en las Especificaciones Técnicas"/>
    <n v="653117854"/>
    <m/>
    <s v="900-IPU-0466-2022"/>
    <s v="IPU"/>
    <n v="202204431"/>
    <m/>
    <s v="N/A"/>
    <s v="N/A"/>
    <s v="N/A"/>
    <x v="0"/>
    <s v="JUAN DAVID GOMEZ"/>
    <d v="2022-11-08T00:00:00"/>
    <e v="#VALUE!"/>
    <e v="#VALUE!"/>
    <m/>
    <s v="Cerrado"/>
    <x v="0"/>
    <d v="2022-12-12T00:00:00"/>
    <s v="3 de agosto reasignado a laura pimienta_x000a_28 DE SEPTIEMBRE A LA ESPERA DE LA PROPUESTA POR PARTE DEL PROVEEDOR_x000a_12-12-2022, EL PROCESO SE CERRO POR NO PRESENTARSE OFERTAS AL PROCESO "/>
    <d v="2022-12-12T00:00:00"/>
    <x v="5"/>
    <s v="dic"/>
    <n v="138"/>
    <n v="34"/>
    <x v="6"/>
    <s v="FUNCIONAMIENTO"/>
    <x v="0"/>
    <m/>
    <m/>
    <m/>
    <m/>
    <m/>
    <m/>
    <m/>
    <m/>
    <m/>
    <m/>
    <m/>
    <m/>
    <m/>
    <m/>
    <x v="0"/>
    <m/>
    <m/>
  </r>
  <r>
    <n v="424"/>
    <s v="0467"/>
    <x v="1"/>
    <d v="2022-07-27T00:00:00"/>
    <x v="7"/>
    <s v="GE0275"/>
    <s v="FR-500-GE-0230-2022"/>
    <s v="500-CMA-1743-2021"/>
    <s v="Suministro de cables y/o alambres para la conducción de energía y prestación de servicios de telecomunicaciones, de acuerdo con las condiciones, especificaciones técnicas y formulario de items y precios definidos en cada uno de los siguientes grupos: GRUPO 1: Suministro de cables y alambres para la conducción de energía. GRUPO 2: Suministro de cables BCH y alambres de cobre para el mantenimiento e instalación de las redes de acceso de los servicios de telecomunicaciones."/>
    <n v="691395355"/>
    <s v="45 DIAS"/>
    <s v="N/A"/>
    <m/>
    <n v="202205361"/>
    <n v="691395355"/>
    <s v="N/A"/>
    <s v="N/A"/>
    <s v="N/A"/>
    <x v="1"/>
    <s v="ESTEFANIA SANCHEZ"/>
    <d v="2022-07-27T00:00:00"/>
    <n v="104"/>
    <n v="104"/>
    <s v="SI"/>
    <s v="Entregado al area"/>
    <x v="1"/>
    <s v="28 DE SEPTIEMBRE EN SOLCIITUD DE POLIZAS"/>
    <m/>
    <d v="2022-10-04T00:00:00"/>
    <x v="12"/>
    <n v="69"/>
    <m/>
    <n v="69"/>
    <x v="0"/>
    <s v="OPERACIÓN_x000a_INVERSION"/>
    <x v="280"/>
    <d v="2022-09-15T00:00:00"/>
    <n v="691395355"/>
    <s v="CENTELSA SA"/>
    <n v="202208523"/>
    <n v="0"/>
    <s v="YUMBO"/>
    <s v="MUNICIPAL"/>
    <m/>
    <m/>
    <m/>
    <m/>
    <m/>
    <m/>
    <n v="0"/>
    <x v="0"/>
    <n v="0"/>
    <n v="69"/>
  </r>
  <r>
    <n v="425"/>
    <s v="0468"/>
    <x v="2"/>
    <d v="2022-07-28T00:00:00"/>
    <x v="7"/>
    <s v="GAA0085"/>
    <s v="FR-300-GAA-0207-2022"/>
    <s v="N/A"/>
    <s v="Realizar calibración en sitio de RVM, rotametros y Caudalimetros instalados en los Bancos de Calibración del Laboratorio de Medidores Acueducto"/>
    <n v="34807500"/>
    <s v="31 DE DICIEMBRE 2022"/>
    <s v="900-IP-0468-2022"/>
    <m/>
    <n v="202202257"/>
    <n v="35000000"/>
    <s v="N/A"/>
    <s v="N/A"/>
    <s v="N/A"/>
    <x v="2"/>
    <s v="IVAN ALDANA"/>
    <d v="2022-07-29T00:00:00"/>
    <e v="#VALUE!"/>
    <e v="#VALUE!"/>
    <s v="SI"/>
    <s v="Entregado al area"/>
    <x v="1"/>
    <s v="2 DE AGOSTO EN SOLCIITUD DE COTIZACION. 5 DE AGOSTO EN ELABORACION DE FPA E INVITACION."/>
    <m/>
    <d v="2022-09-08T00:00:00"/>
    <x v="11"/>
    <m/>
    <n v="42"/>
    <n v="41"/>
    <x v="2"/>
    <s v="FUNCIONAMIENTO"/>
    <x v="281"/>
    <d v="2022-08-26T00:00:00"/>
    <n v="34807500"/>
    <s v="VOLUMED SAS"/>
    <n v="202208272"/>
    <n v="0"/>
    <m/>
    <m/>
    <m/>
    <m/>
    <m/>
    <s v="BOGOTA"/>
    <s v="NACIONAL"/>
    <s v="LABORATORIO DE MEDIDORES ACUEDUCTO"/>
    <n v="0"/>
    <x v="0"/>
    <n v="1"/>
    <n v="30"/>
  </r>
  <r>
    <n v="426"/>
    <s v="0469"/>
    <x v="2"/>
    <d v="2022-07-28T00:00:00"/>
    <x v="7"/>
    <s v="GAA0673"/>
    <s v="FR-300-GAA-0208-2022"/>
    <s v="N/A"/>
    <s v="Mantenimiento Tanque Subterraneo usado para el almacenamiento de Agua Potable del Laboratorio de Medidores Acueducto."/>
    <n v="26188501"/>
    <m/>
    <s v="900-IP-0469-2022"/>
    <s v="IP-"/>
    <n v="202205245"/>
    <m/>
    <s v="N/A"/>
    <s v="N/A"/>
    <s v="N/A"/>
    <x v="2"/>
    <s v="MARIA CAMILA OLIVEROS"/>
    <d v="2022-07-29T00:00:00"/>
    <e v="#VALUE!"/>
    <e v="#VALUE!"/>
    <s v="NO"/>
    <s v="Devuelto"/>
    <x v="2"/>
    <d v="2022-11-12T00:00:00"/>
    <s v="28 DE SEPTIEMBRE EN ACEPTACION DE OFERTA"/>
    <d v="2022-10-12T00:00:00"/>
    <x v="5"/>
    <s v="oct"/>
    <n v="76"/>
    <n v="75"/>
    <x v="3"/>
    <s v="FUNCIONAMIENTO"/>
    <x v="0"/>
    <m/>
    <m/>
    <m/>
    <m/>
    <m/>
    <m/>
    <m/>
    <m/>
    <m/>
    <m/>
    <m/>
    <m/>
    <m/>
    <m/>
    <x v="0"/>
    <m/>
    <m/>
  </r>
  <r>
    <n v="427"/>
    <s v="0470"/>
    <x v="2"/>
    <d v="2022-07-28T00:00:00"/>
    <x v="7"/>
    <s v="GAA0678_x000a_GAA0058"/>
    <s v="FR-300-GAA-0209-2022"/>
    <s v="N/A"/>
    <s v="Mantenimiento Tanque Elevado usado para el almacenamiento de Agua Potable del Laboratorio de Medidores Acueducto."/>
    <n v="47253260"/>
    <s v="90 DIAS"/>
    <s v="900-IP-0470-2022"/>
    <m/>
    <s v="202202232_x000a_202202231_x000a_202202226"/>
    <n v="47253260"/>
    <s v="N/A"/>
    <s v="N/A"/>
    <s v="N/A"/>
    <x v="2"/>
    <s v="CAMILO NUÑEZ"/>
    <d v="2022-07-29T00:00:00"/>
    <e v="#VALUE!"/>
    <e v="#VALUE!"/>
    <s v="SI"/>
    <s v="Entregado al area"/>
    <x v="1"/>
    <s v="1 DE AGOSTO ENNSOLICITUD DE CONCEPTOS"/>
    <m/>
    <d v="2022-09-27T00:00:00"/>
    <x v="11"/>
    <m/>
    <n v="61"/>
    <n v="60"/>
    <x v="2"/>
    <s v="FUNCIONAMIENTO"/>
    <x v="282"/>
    <d v="2022-09-15T00:00:00"/>
    <n v="46151260"/>
    <s v="COMACON APLICACIONES SAS"/>
    <n v="202208543"/>
    <n v="1102000"/>
    <m/>
    <m/>
    <m/>
    <m/>
    <m/>
    <s v="CALI"/>
    <s v="LOCAL"/>
    <s v="LABORATORIO DE MEDIDORES ACUEDUCTO"/>
    <n v="2.3321142287325784E-2"/>
    <x v="0"/>
    <n v="1"/>
    <n v="43"/>
  </r>
  <r>
    <n v="428"/>
    <s v="0471"/>
    <x v="2"/>
    <d v="2022-07-28T00:00:00"/>
    <x v="7"/>
    <s v="GAA0671"/>
    <s v="FR-300-GAA-0210-2022"/>
    <s v="N/A"/>
    <s v="Mantenimiento Sistema de Bombeo y Compresores de aire del Laboratorio de Medidores Acueducto."/>
    <n v="22222060"/>
    <s v="31 DE DICIEMBRE 2022"/>
    <s v="900-IP-0471-2022"/>
    <m/>
    <n v="202205242"/>
    <n v="22222060"/>
    <s v="N/A"/>
    <s v="N/A"/>
    <s v="N/A"/>
    <x v="2"/>
    <s v="MARIA CAMILA OLIVEROS"/>
    <d v="2022-07-29T00:00:00"/>
    <e v="#VALUE!"/>
    <e v="#VALUE!"/>
    <s v="SI"/>
    <s v="Entregado al area"/>
    <x v="1"/>
    <m/>
    <m/>
    <d v="2022-09-06T00:00:00"/>
    <x v="11"/>
    <m/>
    <n v="40"/>
    <n v="39"/>
    <x v="2"/>
    <s v="FUNCIONAMIENTO"/>
    <x v="283"/>
    <d v="2022-08-31T00:00:00"/>
    <n v="22222060"/>
    <s v="TALLERES BRIG LTDA"/>
    <n v="202208246"/>
    <n v="0"/>
    <m/>
    <m/>
    <m/>
    <m/>
    <m/>
    <s v="CALI"/>
    <s v="LOCAL"/>
    <s v="LABORATORIO DE MEDIDORES ACUEDUCTO"/>
    <n v="0"/>
    <x v="0"/>
    <n v="1"/>
    <n v="28"/>
  </r>
  <r>
    <n v="429"/>
    <s v="0472"/>
    <x v="2"/>
    <d v="2022-07-28T00:00:00"/>
    <x v="7"/>
    <s v="GAA0672"/>
    <s v="FR-300-GAA-0211-2022"/>
    <s v="N/A"/>
    <s v="Mantenimiento de Software de Gestión P&amp;P para la Calibración de Medidores Acueducto"/>
    <n v="19999140"/>
    <m/>
    <s v="900-IP-0472-2022"/>
    <s v="IP-"/>
    <n v="202205243"/>
    <m/>
    <s v="N/A"/>
    <s v="N/A"/>
    <s v="N/A"/>
    <x v="2"/>
    <s v="CAMILO NUÑEZ"/>
    <d v="2022-07-29T00:00:00"/>
    <e v="#VALUE!"/>
    <e v="#VALUE!"/>
    <s v="NO"/>
    <s v="Devuelto"/>
    <x v="2"/>
    <m/>
    <s v="1 DE AGOSTO ENNSOLICITUD DE CONCEPTOS_x000a_SE DEVUELVE  PORQUE ES UN PROCESO SAM"/>
    <d v="2022-08-17T00:00:00"/>
    <x v="5"/>
    <s v="ago"/>
    <n v="20"/>
    <n v="19"/>
    <x v="2"/>
    <s v="FUNCIONAMIENTO"/>
    <x v="0"/>
    <m/>
    <m/>
    <m/>
    <m/>
    <m/>
    <m/>
    <m/>
    <m/>
    <m/>
    <m/>
    <m/>
    <m/>
    <m/>
    <m/>
    <x v="0"/>
    <m/>
    <m/>
  </r>
  <r>
    <n v="430"/>
    <s v="0473"/>
    <x v="2"/>
    <d v="2022-07-28T00:00:00"/>
    <x v="7"/>
    <s v="GAA0212"/>
    <s v="FR-300-GAA-0212-2022"/>
    <s v="N/A"/>
    <s v="Realizar la calibración de los instrumentos de temperatura, presión y humedad relativa instalados en el Laboratorio de Medidores Acueducto."/>
    <n v="16676370"/>
    <s v="90 DIAS"/>
    <s v="900-IP-0473-2022"/>
    <m/>
    <s v="202202258_x000a_202202259_x000a_202202260_x000a_202202261"/>
    <n v="16676370"/>
    <s v="N/A"/>
    <s v="N/A"/>
    <s v="N/A"/>
    <x v="2"/>
    <s v="NINFA SANTANA"/>
    <d v="2022-07-29T00:00:00"/>
    <e v="#VALUE!"/>
    <e v="#VALUE!"/>
    <s v="SI"/>
    <s v="Entregado al area"/>
    <x v="1"/>
    <m/>
    <m/>
    <d v="2022-09-20T00:00:00"/>
    <x v="11"/>
    <m/>
    <n v="54"/>
    <n v="53"/>
    <x v="2"/>
    <s v="FUNCIONAMIENTO"/>
    <x v="284"/>
    <d v="2022-09-15T00:00:00"/>
    <n v="16378203"/>
    <s v="METROLOGIC COLOMBIA SAS"/>
    <n v="202208423"/>
    <n v="298167"/>
    <m/>
    <m/>
    <m/>
    <m/>
    <m/>
    <s v="CALI"/>
    <s v="LOCAL"/>
    <s v="LABORATORIO DE MEDIDORES ACUEDUCTO"/>
    <n v="1.7879610490772271E-2"/>
    <x v="0"/>
    <n v="1"/>
    <n v="24"/>
  </r>
  <r>
    <n v="431"/>
    <s v="0474"/>
    <x v="1"/>
    <d v="2022-07-28T00:00:00"/>
    <x v="7"/>
    <s v="PENDIENTE"/>
    <s v="FR-500-GE-0200-2022"/>
    <s v="N/A"/>
    <s v="Suministro de Equipo Cabrestante Portacarrete Portatil Motorizado"/>
    <n v="269000000"/>
    <s v="28 de noviembre 2022"/>
    <s v="900-IP-0474-2022"/>
    <m/>
    <n v="202203909"/>
    <m/>
    <s v="N/A"/>
    <s v="N/A"/>
    <s v="N/A"/>
    <x v="2"/>
    <s v="JULIETA ORTIZ"/>
    <d v="2022-07-28T00:00:00"/>
    <n v="48"/>
    <n v="48"/>
    <s v="SI"/>
    <s v="Entregado al area"/>
    <x v="1"/>
    <s v="2 DE AGOSTO EN SOLICITUD DE CONCEPTOS  5 de agosto esta en espera de las polizas"/>
    <s v="Se presento un error en la expedicion de las polizas pór parte del tomador de seguros,.  La jefe se comunico con seguros  para que hicieran la correccion"/>
    <d v="2022-08-22T00:00:00"/>
    <x v="1"/>
    <m/>
    <n v="25"/>
    <n v="25"/>
    <x v="2"/>
    <s v="INVERSION"/>
    <x v="285"/>
    <d v="2022-08-10T00:00:00"/>
    <n v="267738100"/>
    <s v="SUMINISTROS Y SERICIOS TECNICOS SOCIEDAD POR ACCIONES SIMPLIFIADA"/>
    <m/>
    <n v="1261900"/>
    <m/>
    <m/>
    <m/>
    <m/>
    <m/>
    <s v="CALI"/>
    <s v="LOCAL"/>
    <s v="UNIDAD DE MANTENIMIENTO"/>
    <n v="4.6910780669144978E-3"/>
    <x v="0"/>
    <n v="1"/>
    <n v="17"/>
  </r>
  <r>
    <n v="432"/>
    <s v="0475"/>
    <x v="2"/>
    <d v="2022-07-29T00:00:00"/>
    <x v="7"/>
    <s v="PENDIENTE"/>
    <s v="FR-300-GAA-0124-2022"/>
    <s v="N/A"/>
    <s v="Servicio de transporte, recolección y disposición de arenas, hilazas y biosolidos generados en el tratamiento de las aguas residuales en la PTAR-C"/>
    <n v="299999952"/>
    <s v="3 MESES"/>
    <s v="900-IP-0475-2022"/>
    <m/>
    <n v="202201857"/>
    <n v="300000000"/>
    <s v="N/A"/>
    <s v="N/A"/>
    <s v="N/A"/>
    <x v="2"/>
    <s v="ANA MARIA GIL"/>
    <d v="2022-08-01T00:00:00"/>
    <n v="47"/>
    <n v="44"/>
    <s v="SI"/>
    <s v="Entregado al area"/>
    <x v="1"/>
    <s v="5 DE AGOSTO EN  RECEPCION DE LA OFERTA"/>
    <m/>
    <d v="2022-08-25T00:00:00"/>
    <x v="1"/>
    <m/>
    <n v="27"/>
    <n v="24"/>
    <x v="2"/>
    <s v="FUNCIONAMIENTO"/>
    <x v="286"/>
    <d v="2022-08-10T00:00:00"/>
    <n v="299999952"/>
    <s v="MULTISERVICIOS CAÑAMIEL  SAS"/>
    <n v="202207801"/>
    <n v="0"/>
    <m/>
    <m/>
    <m/>
    <m/>
    <m/>
    <m/>
    <m/>
    <m/>
    <n v="0"/>
    <x v="0"/>
    <n v="1"/>
    <n v="19"/>
  </r>
  <r>
    <n v="433"/>
    <s v="0476"/>
    <x v="5"/>
    <d v="2022-07-29T00:00:00"/>
    <x v="7"/>
    <s v="GHA0065_x000a_GHA0067"/>
    <s v="FR-800-GHA-0177-2022"/>
    <s v="N/A"/>
    <s v="Realizar la compra de elementos de aseo y cafetería para EMCALI EICE ESP"/>
    <n v="84055124"/>
    <s v="28 DE NOVIEMBRE 2022"/>
    <s v="900-IP-0476-2022"/>
    <m/>
    <s v="202204454_x000a_202203557_x000a_202205128"/>
    <m/>
    <s v="N/A"/>
    <s v="N/A"/>
    <s v="N/A"/>
    <x v="2"/>
    <s v="PAOLA BELTRAN"/>
    <d v="2022-08-05T00:00:00"/>
    <e v="#VALUE!"/>
    <e v="#VALUE!"/>
    <s v="SI"/>
    <s v="Entregado al area"/>
    <x v="1"/>
    <s v="18 DE AGOSTO EN ELABORACION DE  INVITACION"/>
    <m/>
    <d v="2022-09-14T00:00:00"/>
    <x v="11"/>
    <m/>
    <n v="47"/>
    <n v="40"/>
    <x v="2"/>
    <s v="FUNCIONAMIENTO"/>
    <x v="287"/>
    <d v="2022-09-12T00:00:00"/>
    <n v="83956858"/>
    <s v="AS DISTRIBUCION INSTITUCIONAL SAS"/>
    <n v="202208405"/>
    <n v="98266"/>
    <m/>
    <m/>
    <m/>
    <m/>
    <m/>
    <s v="CALI"/>
    <s v="LOCAL"/>
    <m/>
    <n v="1.1690661475914307E-3"/>
    <x v="1"/>
    <n v="1"/>
    <n v="21"/>
  </r>
  <r>
    <n v="434"/>
    <s v="0477"/>
    <x v="6"/>
    <d v="2022-07-29T00:00:00"/>
    <x v="7"/>
    <s v="GTI0191"/>
    <s v="FR-200-GTI-0110-2022"/>
    <s v="N/A"/>
    <s v="Actualización por un(1) año de la Licencia de Infowater a través de la cual opera el Modelo de Simulación Hidráulica de Acueducto en el Centro de Control Maestro de la UENAA"/>
    <n v="35000000"/>
    <m/>
    <m/>
    <s v=""/>
    <n v="202203030"/>
    <m/>
    <s v="N/A"/>
    <s v="N/A"/>
    <s v="N/A"/>
    <x v="3"/>
    <s v="CAMILO NUÑEZ"/>
    <d v="2022-08-01T00:00:00"/>
    <e v="#VALUE!"/>
    <e v="#VALUE!"/>
    <s v="NO"/>
    <s v="Devuelto"/>
    <x v="2"/>
    <m/>
    <s v="DEVUELTO PORQUE ES UN PROCESO SAM"/>
    <d v="2022-08-17T00:00:00"/>
    <x v="5"/>
    <s v="ago"/>
    <n v="19"/>
    <n v="16"/>
    <x v="1"/>
    <s v="FUNCIONAMIENTO_x000a_INVERSION"/>
    <x v="0"/>
    <m/>
    <m/>
    <m/>
    <m/>
    <m/>
    <m/>
    <m/>
    <m/>
    <m/>
    <m/>
    <m/>
    <m/>
    <m/>
    <m/>
    <x v="1"/>
    <m/>
    <m/>
  </r>
  <r>
    <n v="435"/>
    <s v="0478"/>
    <x v="6"/>
    <d v="2022-07-29T00:00:00"/>
    <x v="7"/>
    <s v="GTI0189"/>
    <s v="FR-200-GTI-0109-2022"/>
    <s v="N/A"/>
    <s v="Actualización del Licenciamiento del Software ArcGIS sobre el cual, opera el sistema de información Geográfica de la UENAA"/>
    <n v="260464881"/>
    <m/>
    <m/>
    <s v=""/>
    <n v="202203588"/>
    <m/>
    <s v="N/A"/>
    <s v="N/A"/>
    <s v="N/A"/>
    <x v="3"/>
    <s v="CAMILO NUÑEZ"/>
    <d v="2022-08-01T00:00:00"/>
    <e v="#VALUE!"/>
    <e v="#VALUE!"/>
    <s v="NO"/>
    <s v="Devuelto"/>
    <x v="2"/>
    <m/>
    <s v="DEVUELTO PORQUE ES UN PROCESO SAM"/>
    <d v="2022-08-17T00:00:00"/>
    <x v="5"/>
    <s v="ago"/>
    <n v="19"/>
    <n v="16"/>
    <x v="1"/>
    <s v="FUNCIONAMIENTO_x000a_INVERSION"/>
    <x v="0"/>
    <m/>
    <m/>
    <m/>
    <m/>
    <m/>
    <m/>
    <m/>
    <m/>
    <m/>
    <m/>
    <m/>
    <m/>
    <m/>
    <m/>
    <x v="1"/>
    <m/>
    <m/>
  </r>
  <r>
    <n v="436"/>
    <s v="0479"/>
    <x v="0"/>
    <d v="2022-07-01T00:00:00"/>
    <x v="7"/>
    <s v="GT0240"/>
    <s v="FR-400-GT-0195-2022"/>
    <s v="N/A"/>
    <s v="Prestación de servicios para las actividades de promoción, de los productos ofrecidos en el portafolio de la Unidad Estratégica del Negocio de Telecomunicaciones de EMCALI EICE E.S.P en su área de cobertura y en las zonas específicas definidas en el presente proceso contractual, cumpliendo la normatividad vigente y lograr crecimiento en los ingresos de la Unidad Estratégica de Negocios de tecnologías de la Información y comunicación (GUENTIC)"/>
    <n v="499939720"/>
    <s v="4,5 MESES"/>
    <s v="900-IP-0479-2022"/>
    <m/>
    <n v="202205147"/>
    <m/>
    <s v="N/A"/>
    <s v="N/A"/>
    <s v="N/A"/>
    <x v="2"/>
    <s v="LAURA ANGEL"/>
    <d v="2022-08-03T00:00:00"/>
    <n v="75"/>
    <n v="42"/>
    <s v="SI"/>
    <s v="Entregado al area"/>
    <x v="1"/>
    <m/>
    <m/>
    <d v="2022-08-19T00:00:00"/>
    <x v="1"/>
    <m/>
    <n v="49"/>
    <n v="16"/>
    <x v="2"/>
    <s v="FUNCIONAMIENTO"/>
    <x v="288"/>
    <d v="2022-08-16T00:00:00"/>
    <n v="499140720"/>
    <s v="COMERCIALIZADORA DE BIENES Y SERVICIOS SOLUCIONAMOS SAS"/>
    <n v="202207831"/>
    <n v="799000"/>
    <m/>
    <m/>
    <m/>
    <m/>
    <m/>
    <s v="CALI"/>
    <s v="LOCAL"/>
    <m/>
    <n v="1.598192678109273E-3"/>
    <x v="0"/>
    <n v="1"/>
    <n v="35"/>
  </r>
  <r>
    <n v="437"/>
    <s v="0480"/>
    <x v="9"/>
    <d v="2022-08-01T00:00:00"/>
    <x v="8"/>
    <m/>
    <m/>
    <s v="N/A"/>
    <s v="ANULADO"/>
    <m/>
    <m/>
    <m/>
    <s v=""/>
    <m/>
    <m/>
    <s v="N/A"/>
    <s v="N/A"/>
    <s v="N/A"/>
    <x v="3"/>
    <s v="MONICA DHARO"/>
    <d v="2022-08-01T00:00:00"/>
    <e v="#VALUE!"/>
    <e v="#VALUE!"/>
    <s v="SI"/>
    <s v="Inicio Proceso"/>
    <x v="0"/>
    <m/>
    <m/>
    <d v="2022-08-01T00:00:00"/>
    <x v="5"/>
    <s v="ago"/>
    <n v="0"/>
    <n v="0"/>
    <x v="0"/>
    <s v="N/A"/>
    <x v="0"/>
    <m/>
    <m/>
    <m/>
    <m/>
    <m/>
    <m/>
    <m/>
    <m/>
    <m/>
    <m/>
    <m/>
    <m/>
    <m/>
    <m/>
    <x v="1"/>
    <m/>
    <m/>
  </r>
  <r>
    <n v="438"/>
    <s v="0481"/>
    <x v="9"/>
    <d v="2022-08-01T00:00:00"/>
    <x v="8"/>
    <m/>
    <m/>
    <s v="N/A"/>
    <s v="ANULADO"/>
    <m/>
    <m/>
    <m/>
    <s v=""/>
    <m/>
    <m/>
    <s v="N/A"/>
    <s v="N/A"/>
    <s v="N/A"/>
    <x v="3"/>
    <s v="MONICA DHARO"/>
    <d v="2022-08-01T00:00:00"/>
    <e v="#VALUE!"/>
    <e v="#VALUE!"/>
    <s v="SI"/>
    <s v="Inicio Proceso"/>
    <x v="0"/>
    <m/>
    <m/>
    <d v="2022-08-01T00:00:00"/>
    <x v="5"/>
    <s v="ago"/>
    <n v="0"/>
    <n v="0"/>
    <x v="0"/>
    <s v="N/A"/>
    <x v="0"/>
    <m/>
    <m/>
    <m/>
    <m/>
    <m/>
    <m/>
    <m/>
    <m/>
    <m/>
    <m/>
    <m/>
    <m/>
    <m/>
    <m/>
    <x v="1"/>
    <m/>
    <m/>
  </r>
  <r>
    <n v="439"/>
    <s v="0482"/>
    <x v="9"/>
    <d v="2022-08-01T00:00:00"/>
    <x v="8"/>
    <m/>
    <m/>
    <s v="N/A"/>
    <s v="ANULADO"/>
    <m/>
    <m/>
    <m/>
    <s v=""/>
    <m/>
    <m/>
    <s v="N/A"/>
    <s v="N/A"/>
    <s v="N/A"/>
    <x v="3"/>
    <s v="MONICA DHARO"/>
    <d v="2022-08-01T00:00:00"/>
    <e v="#VALUE!"/>
    <e v="#VALUE!"/>
    <s v="SI"/>
    <s v="Inicio Proceso"/>
    <x v="0"/>
    <m/>
    <m/>
    <d v="2022-08-01T00:00:00"/>
    <x v="5"/>
    <s v="ago"/>
    <n v="0"/>
    <n v="0"/>
    <x v="0"/>
    <s v="N/A"/>
    <x v="0"/>
    <m/>
    <m/>
    <m/>
    <m/>
    <m/>
    <m/>
    <m/>
    <m/>
    <m/>
    <m/>
    <m/>
    <m/>
    <m/>
    <m/>
    <x v="1"/>
    <m/>
    <m/>
  </r>
  <r>
    <n v="440"/>
    <s v="0483"/>
    <x v="2"/>
    <d v="2022-08-02T00:00:00"/>
    <x v="8"/>
    <s v="GAA0772"/>
    <s v="FR-300-GAA-0213-2022"/>
    <s v="N/A"/>
    <s v="Mantenimiento Preventivo para los variadores de velocidad del LMA."/>
    <n v="2748900"/>
    <m/>
    <s v="900-IP-0483-2022"/>
    <m/>
    <n v="202205145"/>
    <m/>
    <s v="N/A"/>
    <s v="N/A"/>
    <s v="N/A"/>
    <x v="2"/>
    <s v="JESSICA ROJAS"/>
    <d v="2022-08-02T00:00:00"/>
    <n v="98"/>
    <n v="98"/>
    <s v="SI"/>
    <s v="Entregado al area"/>
    <x v="1"/>
    <s v="28 DE SEPTIEMBRE EN SOLICITUD DE POLIZAS"/>
    <m/>
    <d v="2022-10-12T00:00:00"/>
    <x v="12"/>
    <n v="71"/>
    <m/>
    <n v="71"/>
    <x v="2"/>
    <s v="FUNCIONAMIENTO"/>
    <x v="289"/>
    <d v="2022-09-07T00:00:00"/>
    <n v="2748900"/>
    <s v="TECNICAS EN  AUTOMATIZACION Y CONTROL SAS "/>
    <n v="202208319"/>
    <n v="0"/>
    <s v="CALI"/>
    <s v="LOCAL"/>
    <m/>
    <m/>
    <m/>
    <m/>
    <m/>
    <m/>
    <n v="0"/>
    <x v="0"/>
    <n v="1"/>
    <n v="46"/>
  </r>
  <r>
    <n v="441"/>
    <s v="0484"/>
    <x v="2"/>
    <d v="2022-08-02T00:00:00"/>
    <x v="8"/>
    <s v="GAA0677"/>
    <s v="FR-300-GAA-0215-2022"/>
    <s v="N/A"/>
    <s v="Mantenimiento Tablet's  marca ZEBRA del Laboratorio de Medidores Acueducto."/>
    <n v="6631930"/>
    <s v="120 DIAS"/>
    <s v="900-IP-484-2022"/>
    <m/>
    <n v="202205244"/>
    <n v="6631930"/>
    <s v="N/A"/>
    <s v="N/A"/>
    <s v="N/A"/>
    <x v="2"/>
    <s v="NINFA SANTANA"/>
    <d v="2022-08-03T00:00:00"/>
    <n v="43"/>
    <n v="42"/>
    <s v="SI"/>
    <s v="Entregado al area"/>
    <x v="1"/>
    <m/>
    <m/>
    <d v="2022-08-30T00:00:00"/>
    <x v="1"/>
    <m/>
    <n v="28"/>
    <n v="27"/>
    <x v="2"/>
    <s v="FUNCIONAMIENTO"/>
    <x v="290"/>
    <d v="2022-08-26T00:00:00"/>
    <n v="6631930"/>
    <s v="LINEADATASCAN SA"/>
    <m/>
    <n v="0"/>
    <m/>
    <m/>
    <m/>
    <m/>
    <m/>
    <s v="CALI"/>
    <s v="LOCAL"/>
    <m/>
    <n v="0"/>
    <x v="0"/>
    <n v="1"/>
    <n v="20"/>
  </r>
  <r>
    <n v="442"/>
    <s v="0485"/>
    <x v="0"/>
    <d v="2022-08-02T00:00:00"/>
    <x v="8"/>
    <s v="GT0141"/>
    <s v="FR-400-GT-0151-2022"/>
    <s v="N/A"/>
    <s v="Suministro de elementos para el mantenimiento de los radio enlaces que permita garantizar la disponibilidad y calidad del servicio exigida por los usuarios y cumplir con normatividad que rigen los servicios públicos de Telecomunicaciones en Colombia"/>
    <n v="498845738"/>
    <s v="28 DE NOVIEMBRE 2022"/>
    <s v="900-IP-0485-2022"/>
    <m/>
    <n v="202202411"/>
    <n v="503813789"/>
    <s v="N/A"/>
    <s v="N/A"/>
    <s v="N/A"/>
    <x v="2"/>
    <s v="HAROLD MONDRAGON"/>
    <d v="2022-08-03T00:00:00"/>
    <e v="#VALUE!"/>
    <e v="#VALUE!"/>
    <s v="SI"/>
    <s v="Entregado al area"/>
    <x v="1"/>
    <m/>
    <m/>
    <d v="2022-09-08T00:00:00"/>
    <x v="11"/>
    <m/>
    <n v="37"/>
    <n v="36"/>
    <x v="2"/>
    <s v="FUNCIONAMIENTO"/>
    <x v="291"/>
    <d v="2022-09-05T00:00:00"/>
    <n v="498814757"/>
    <s v="MAICROTEL SAS"/>
    <n v="202208317"/>
    <n v="30981"/>
    <m/>
    <m/>
    <m/>
    <m/>
    <m/>
    <s v="BOGOTA"/>
    <s v="NACIONAL"/>
    <m/>
    <n v="6.2105371741193467E-5"/>
    <x v="0"/>
    <n v="1"/>
    <n v="27"/>
  </r>
  <r>
    <n v="443"/>
    <s v="0486"/>
    <x v="2"/>
    <d v="2022-08-02T00:00:00"/>
    <x v="8"/>
    <s v="PENDIENTE"/>
    <s v="FR-300-GAA-0076-2022"/>
    <s v="N/A"/>
    <s v="Suministro de equipos y Elementos para la medición de variables para el proceso de tratamiento de la PTAR-C"/>
    <n v="207605670"/>
    <s v="28 DE  NOVIEMBRE 2022"/>
    <s v="900-IP-0486-2022"/>
    <m/>
    <n v="202202669"/>
    <n v="211028000"/>
    <s v="N/A"/>
    <s v="N/A"/>
    <s v="N/A"/>
    <x v="2"/>
    <s v="JULIO GARCIA"/>
    <d v="2022-08-02T00:00:00"/>
    <e v="#VALUE!"/>
    <e v="#VALUE!"/>
    <s v="SI"/>
    <s v="Entregado al area"/>
    <x v="1"/>
    <m/>
    <m/>
    <d v="2022-09-16T00:00:00"/>
    <x v="11"/>
    <m/>
    <n v="45"/>
    <n v="45"/>
    <x v="2"/>
    <s v="INVERSION"/>
    <x v="292"/>
    <d v="2022-09-14T00:00:00"/>
    <n v="206567640"/>
    <s v="EPRING SAS"/>
    <n v="202208411"/>
    <n v="1038030"/>
    <m/>
    <m/>
    <m/>
    <m/>
    <m/>
    <s v="CALI"/>
    <s v="LOCAL"/>
    <m/>
    <n v="5.000007947759808E-3"/>
    <x v="0"/>
    <n v="1"/>
    <n v="33"/>
  </r>
  <r>
    <n v="444"/>
    <s v="0487"/>
    <x v="2"/>
    <d v="2022-08-03T00:00:00"/>
    <x v="8"/>
    <s v="PENDIENTE"/>
    <s v="FR-300-GAA-0087-2022"/>
    <s v="N/A"/>
    <s v="Suministro de equipos de Automatismo y Telemetría"/>
    <n v="244211285"/>
    <s v="60 DIAS"/>
    <s v="900-IP-0487-2022"/>
    <m/>
    <n v="202201156"/>
    <m/>
    <s v="N/A"/>
    <s v="N/A"/>
    <s v="N/A"/>
    <x v="2"/>
    <s v="LINA ECHAVARRIA"/>
    <d v="2022-08-03T00:00:00"/>
    <n v="42"/>
    <n v="42"/>
    <s v="SI"/>
    <s v="Entregado al area"/>
    <x v="1"/>
    <m/>
    <m/>
    <d v="2022-08-29T00:00:00"/>
    <x v="1"/>
    <m/>
    <n v="26"/>
    <n v="26"/>
    <x v="2"/>
    <s v="INVERSION"/>
    <x v="293"/>
    <d v="2022-08-24T00:00:00"/>
    <n v="243478651"/>
    <s v="EPRING SAS"/>
    <n v="202207946"/>
    <n v="732634"/>
    <m/>
    <m/>
    <m/>
    <m/>
    <m/>
    <m/>
    <m/>
    <m/>
    <n v="3.0000005937481553E-3"/>
    <x v="0"/>
    <n v="1"/>
    <n v="18"/>
  </r>
  <r>
    <n v="445"/>
    <s v="0488"/>
    <x v="8"/>
    <d v="2022-08-03T00:00:00"/>
    <x v="8"/>
    <s v="GF0064"/>
    <s v="FR-700-GF-0063-2022"/>
    <s v="N/A"/>
    <s v="Prestación del servicio de gestión de cobranza para la recuperación de la cartera de las Unidades de Negocio de Telecomunicaciones, Energía, Acueducto y alcantarillado de los suscriptores  de la ciudad de Cali, Yumbo, Jamundí y Puerto Tejada, que se le asignen de forma periodica, en pro del cumplimiento de las metas e indicadores de la Unidad de Recaudo y Gestión de Cobro."/>
    <n v="400000000"/>
    <s v="28 DE NOVIEMBRE 2022"/>
    <s v="900-IP-0488-2022"/>
    <m/>
    <n v="202205566"/>
    <m/>
    <s v="N/A"/>
    <s v="N/A"/>
    <s v="N/A"/>
    <x v="2"/>
    <s v="LAURA PIMIENTA"/>
    <d v="2022-08-05T00:00:00"/>
    <e v="#VALUE!"/>
    <e v="#VALUE!"/>
    <s v="SI"/>
    <s v="Entregado al area"/>
    <x v="1"/>
    <m/>
    <m/>
    <d v="2022-09-19T00:00:00"/>
    <x v="11"/>
    <m/>
    <n v="47"/>
    <n v="45"/>
    <x v="2"/>
    <s v="FUNCIONAMIENTO"/>
    <x v="294"/>
    <d v="2022-09-09T00:00:00"/>
    <n v="400000000"/>
    <s v="SINERJOY BPO SAS"/>
    <n v="202208378"/>
    <n v="0"/>
    <m/>
    <m/>
    <m/>
    <m/>
    <m/>
    <s v="CALI"/>
    <s v="LOCAL"/>
    <m/>
    <n v="0"/>
    <x v="1"/>
    <n v="1"/>
    <n v="33"/>
  </r>
  <r>
    <n v="446"/>
    <s v="0489"/>
    <x v="1"/>
    <d v="2022-08-04T00:00:00"/>
    <x v="8"/>
    <s v="GE0360"/>
    <s v="FR-500-GE-0229-2022"/>
    <s v="N/A"/>
    <s v="Realizar Publicación del Plan de Inversión Vigencia 2021"/>
    <n v="7380000"/>
    <s v="60 DIAS"/>
    <s v="900-IP-0489-2022"/>
    <m/>
    <n v="202205342"/>
    <n v="7380000"/>
    <s v="N/A"/>
    <s v="N/A"/>
    <s v="N/A"/>
    <x v="2"/>
    <s v="LAURA ANGEL"/>
    <d v="2022-08-05T00:00:00"/>
    <n v="41"/>
    <n v="40"/>
    <s v="SI"/>
    <s v="Entregado al area"/>
    <x v="1"/>
    <m/>
    <m/>
    <d v="2022-08-26T00:00:00"/>
    <x v="1"/>
    <m/>
    <n v="22"/>
    <n v="21"/>
    <x v="2"/>
    <s v="FUNCIONAMIENTO"/>
    <x v="295"/>
    <d v="2022-08-23T00:00:00"/>
    <n v="7380000"/>
    <s v="NUEVO DIAIRO DE OCCIDENTE  SAS"/>
    <n v="202207891"/>
    <n v="0"/>
    <m/>
    <m/>
    <m/>
    <m/>
    <m/>
    <s v="CALI"/>
    <s v="LOCAL"/>
    <m/>
    <n v="0"/>
    <x v="0"/>
    <n v="1"/>
    <n v="16"/>
  </r>
  <r>
    <n v="447"/>
    <s v="0490"/>
    <x v="1"/>
    <d v="2022-08-04T00:00:00"/>
    <x v="8"/>
    <s v="GE0352"/>
    <s v="FR-500-GE-0231-2022"/>
    <s v="N/A"/>
    <s v="Suministro Transformadores de Corriente"/>
    <n v="449226785"/>
    <m/>
    <s v="900-IP-0490-2022"/>
    <s v="IP-"/>
    <n v="202205366"/>
    <n v="449226785"/>
    <s v="N/A"/>
    <s v="N/A"/>
    <s v="N/A"/>
    <x v="2"/>
    <s v="LINA ECHAVARRIA"/>
    <d v="2022-08-05T00:00:00"/>
    <e v="#VALUE!"/>
    <e v="#VALUE!"/>
    <s v="NO"/>
    <s v="Cerrado"/>
    <x v="0"/>
    <m/>
    <m/>
    <d v="2022-09-23T00:00:00"/>
    <x v="5"/>
    <s v="sep"/>
    <n v="50"/>
    <n v="49"/>
    <x v="3"/>
    <s v="INVERSION"/>
    <x v="0"/>
    <m/>
    <m/>
    <m/>
    <m/>
    <m/>
    <m/>
    <m/>
    <m/>
    <m/>
    <m/>
    <m/>
    <m/>
    <m/>
    <m/>
    <x v="0"/>
    <m/>
    <m/>
  </r>
  <r>
    <n v="448"/>
    <s v="0491"/>
    <x v="1"/>
    <d v="2022-08-04T00:00:00"/>
    <x v="8"/>
    <s v="GE0276"/>
    <s v="FR-500-GE-0232-2022"/>
    <s v="N/A"/>
    <s v="Suministro de Conectores de Perforación"/>
    <n v="161640675"/>
    <m/>
    <s v="900-IPU-0491-2022"/>
    <s v="IPU"/>
    <n v="202205359"/>
    <m/>
    <s v="N/A"/>
    <s v="N/A"/>
    <s v="N/A"/>
    <x v="0"/>
    <s v="JULIETA ORTIZ"/>
    <d v="2022-08-05T00:00:00"/>
    <e v="#VALUE!"/>
    <e v="#VALUE!"/>
    <s v="NO"/>
    <s v="Devuelto"/>
    <x v="2"/>
    <m/>
    <m/>
    <d v="2022-08-29T00:00:00"/>
    <x v="5"/>
    <s v="ago"/>
    <n v="25"/>
    <n v="24"/>
    <x v="3"/>
    <s v="INVERSION"/>
    <x v="0"/>
    <m/>
    <m/>
    <m/>
    <m/>
    <m/>
    <m/>
    <m/>
    <m/>
    <m/>
    <m/>
    <m/>
    <m/>
    <m/>
    <m/>
    <x v="0"/>
    <m/>
    <m/>
  </r>
  <r>
    <n v="449"/>
    <s v="0492"/>
    <x v="1"/>
    <d v="2022-08-04T00:00:00"/>
    <x v="8"/>
    <s v="GE0354"/>
    <s v="FR-500-GE-0233-2022"/>
    <s v="N/A"/>
    <s v="Suministro de cajas de Policarbonato Polifásicas"/>
    <n v="326844210"/>
    <s v="60 DIAS"/>
    <s v="900-IP-0492-2022"/>
    <m/>
    <n v="202205358"/>
    <n v="326844210"/>
    <s v="N/A"/>
    <s v="N/A"/>
    <s v="N/A"/>
    <x v="2"/>
    <s v="JULIETA ORTIZ"/>
    <d v="2022-08-05T00:00:00"/>
    <e v="#VALUE!"/>
    <e v="#VALUE!"/>
    <s v="SI"/>
    <s v="Entregado al area"/>
    <x v="1"/>
    <m/>
    <m/>
    <d v="2022-09-21T00:00:00"/>
    <x v="11"/>
    <m/>
    <n v="48"/>
    <n v="47"/>
    <x v="2"/>
    <s v="INVERSION"/>
    <x v="296"/>
    <d v="2022-09-15T00:00:00"/>
    <n v="326844210"/>
    <s v="compañía  DE PARTES Y ACCESORIOS SAS"/>
    <m/>
    <n v="0"/>
    <m/>
    <m/>
    <m/>
    <m/>
    <m/>
    <s v="BOGOTA"/>
    <s v="NACIONAL"/>
    <m/>
    <n v="0"/>
    <x v="0"/>
    <n v="1"/>
    <n v="34"/>
  </r>
  <r>
    <n v="450"/>
    <s v="0493"/>
    <x v="1"/>
    <d v="2022-08-04T00:00:00"/>
    <x v="8"/>
    <s v="GE0353"/>
    <s v="FR-500-GE-0234-2022"/>
    <s v="N/A"/>
    <s v="Suministro de MODEM 4G"/>
    <n v="1137561579"/>
    <m/>
    <s v="900-IPU-0493-2022"/>
    <s v="IPU"/>
    <n v="202205357"/>
    <n v="1137561579"/>
    <s v="N/A"/>
    <s v="N/A"/>
    <s v="N/A"/>
    <x v="0"/>
    <s v="LINA ECHAVARRIA"/>
    <d v="2022-08-05T00:00:00"/>
    <e v="#VALUE!"/>
    <e v="#VALUE!"/>
    <m/>
    <s v="Cerrado"/>
    <x v="0"/>
    <d v="2022-12-09T00:00:00"/>
    <s v="28 DE SEPTIEMBRE 2022 EN EVALUACION SOBRE 1"/>
    <d v="2022-12-14T00:00:00"/>
    <x v="5"/>
    <s v="dic"/>
    <n v="132"/>
    <n v="131"/>
    <x v="3"/>
    <s v="INVERSION"/>
    <x v="0"/>
    <m/>
    <m/>
    <m/>
    <m/>
    <m/>
    <m/>
    <m/>
    <m/>
    <m/>
    <m/>
    <m/>
    <m/>
    <m/>
    <m/>
    <x v="0"/>
    <m/>
    <m/>
  </r>
  <r>
    <n v="451"/>
    <s v="0494"/>
    <x v="2"/>
    <d v="2022-08-04T00:00:00"/>
    <x v="8"/>
    <s v="PENDIENTE"/>
    <s v="FR-300-GAA-0136-2022"/>
    <s v="N/A"/>
    <s v="Suministro e Instalación equipos de Instrumentación y Automatización"/>
    <n v="97403342"/>
    <s v="90 DIAS"/>
    <s v="900-IP-0494-2022"/>
    <m/>
    <n v="202203123"/>
    <m/>
    <s v="N/A"/>
    <s v="N/A"/>
    <s v="N/A"/>
    <x v="2"/>
    <s v="ANA MARIA GIL"/>
    <d v="2022-08-04T00:00:00"/>
    <e v="#VALUE!"/>
    <e v="#VALUE!"/>
    <s v="SI"/>
    <s v="Entregado al area"/>
    <x v="1"/>
    <m/>
    <m/>
    <d v="2022-09-21T00:00:00"/>
    <x v="11"/>
    <m/>
    <n v="48"/>
    <n v="48"/>
    <x v="2"/>
    <s v="INVERSION"/>
    <x v="297"/>
    <d v="2022-09-05T00:00:00"/>
    <n v="97196142"/>
    <s v="DESARROLLO DE SISTEMAS DE CONTROL SOCIEDAD POR ACCIONES  SIMPLIFICADA"/>
    <n v="202208385"/>
    <n v="207200"/>
    <m/>
    <m/>
    <m/>
    <m/>
    <m/>
    <m/>
    <m/>
    <m/>
    <n v="2.1272370715986317E-3"/>
    <x v="0"/>
    <n v="1"/>
    <n v="23"/>
  </r>
  <r>
    <n v="452"/>
    <s v="0495"/>
    <x v="5"/>
    <d v="2022-08-08T00:00:00"/>
    <x v="8"/>
    <s v="PENDIENTE"/>
    <s v="FR-800-GHA-0138-2022"/>
    <s v="N/A"/>
    <s v="Realizar la compra de un (1) camión de dos toneladas tipo furgón 4x2, con las adecuaciones requeridas por EMCALI EICE ESP, incluyendo el servicio de diez (10) mantenimientos preventivos"/>
    <n v="197470000"/>
    <s v="28 DE NOVIEMBRE 2022"/>
    <s v="900-IP-0495-2022"/>
    <m/>
    <n v="202202364"/>
    <n v="197470000"/>
    <s v="N/A"/>
    <s v="N/A"/>
    <s v="N/A"/>
    <x v="2"/>
    <s v="LEIDY FRANCO"/>
    <d v="2022-08-08T00:00:00"/>
    <e v="#VALUE!"/>
    <e v="#VALUE!"/>
    <s v="SI"/>
    <s v="Entregado al area"/>
    <x v="1"/>
    <m/>
    <m/>
    <d v="2022-09-12T00:00:00"/>
    <x v="11"/>
    <m/>
    <n v="35"/>
    <n v="35"/>
    <x v="2"/>
    <s v="FUNCIONAMIENTO"/>
    <x v="298"/>
    <d v="2022-08-31T00:00:00"/>
    <n v="172639000"/>
    <s v="AUTOPACIFICO  SA"/>
    <n v="202208351"/>
    <n v="24831000"/>
    <m/>
    <m/>
    <m/>
    <m/>
    <m/>
    <s v="CALI"/>
    <s v="LOCAL"/>
    <m/>
    <n v="0.12574568288854004"/>
    <x v="1"/>
    <n v="1"/>
    <n v="25"/>
  </r>
  <r>
    <n v="453"/>
    <s v="0496"/>
    <x v="2"/>
    <d v="2022-08-08T00:00:00"/>
    <x v="8"/>
    <s v="GAA0741_x000a_GAA0765"/>
    <s v="FR-300-GAA-0216-2022"/>
    <s v="300-CMA-1974-2020"/>
    <s v="Suministro de elementos de ferretería para la Unidad de Mantenimiento"/>
    <n v="168056255"/>
    <s v="18 DE NOVIEMBRE 2022"/>
    <s v="N/A"/>
    <m/>
    <s v="202204891_x000a_202204423"/>
    <m/>
    <s v="N/A"/>
    <s v="N/A"/>
    <s v="N/A"/>
    <x v="1"/>
    <s v="LUCY ARBELAEZ"/>
    <d v="2022-08-08T00:00:00"/>
    <e v="#VALUE!"/>
    <e v="#VALUE!"/>
    <s v="SI"/>
    <s v="Entregado al area"/>
    <x v="1"/>
    <m/>
    <m/>
    <d v="2022-09-05T00:00:00"/>
    <x v="11"/>
    <m/>
    <n v="28"/>
    <n v="28"/>
    <x v="0"/>
    <s v="FUNCIONAMIENTO"/>
    <x v="299"/>
    <d v="2022-08-25T00:00:00"/>
    <n v="167109193"/>
    <s v="EQUIPOS Y HERRAMIENTAS INDUSTRIALES SAS"/>
    <n v="202207954"/>
    <n v="947062"/>
    <m/>
    <m/>
    <m/>
    <m/>
    <m/>
    <m/>
    <m/>
    <m/>
    <n v="5.6353867935471967E-3"/>
    <x v="0"/>
    <n v="0"/>
    <n v="28"/>
  </r>
  <r>
    <n v="454"/>
    <s v="0497"/>
    <x v="2"/>
    <d v="2022-08-08T00:00:00"/>
    <x v="8"/>
    <s v="GAA0740"/>
    <s v="FR-300-GAA-0217-2022"/>
    <s v="N/A"/>
    <s v="Suministro de Rodamientos para las Unidades de Bombeo de Agua Cruda de la PTAP Puerto Mallarino"/>
    <n v="46084023"/>
    <s v="60 DIAS"/>
    <s v="900-IP-0497-2022"/>
    <m/>
    <n v="202204422"/>
    <n v="46084023"/>
    <s v="N/A"/>
    <s v="N/A"/>
    <s v="N/A"/>
    <x v="2"/>
    <s v="CARLOS RODRIGUEZ"/>
    <d v="2022-08-12T00:00:00"/>
    <e v="#VALUE!"/>
    <e v="#VALUE!"/>
    <s v="SI"/>
    <s v="Entregado al area"/>
    <x v="1"/>
    <m/>
    <m/>
    <d v="2022-09-23T00:00:00"/>
    <x v="11"/>
    <m/>
    <n v="46"/>
    <n v="42"/>
    <x v="2"/>
    <s v="INVERSION"/>
    <x v="300"/>
    <d v="2022-09-15T00:00:00"/>
    <n v="45500000"/>
    <s v="FERRRETERIA SU PROVEEDOR SAS"/>
    <n v="202208444"/>
    <n v="584023"/>
    <m/>
    <m/>
    <m/>
    <m/>
    <m/>
    <s v="CALI"/>
    <s v="LOCAL"/>
    <m/>
    <n v="1.2673003830416455E-2"/>
    <x v="0"/>
    <n v="1"/>
    <n v="34"/>
  </r>
  <r>
    <n v="455"/>
    <s v="0498"/>
    <x v="2"/>
    <d v="2022-08-08T00:00:00"/>
    <x v="8"/>
    <s v="GAA0777"/>
    <s v="FR-300-GAA-0218-2022"/>
    <s v="N/A"/>
    <s v="Estudio Estadistico Ensayos de Aptitud para el Laboratorio de Medidores Acueducto."/>
    <n v="3474800"/>
    <s v="30 DIAS"/>
    <s v="900-IP-0218-2022"/>
    <m/>
    <n v="202205486"/>
    <n v="3474800"/>
    <s v="N/A"/>
    <s v="N/A"/>
    <s v="N/A"/>
    <x v="2"/>
    <s v="CARLOS RODRIGUEZ"/>
    <d v="2022-08-12T00:00:00"/>
    <e v="#VALUE!"/>
    <e v="#VALUE!"/>
    <s v="SI"/>
    <s v="Entregado al area"/>
    <x v="1"/>
    <m/>
    <m/>
    <d v="2022-09-26T00:00:00"/>
    <x v="11"/>
    <m/>
    <n v="49"/>
    <n v="45"/>
    <x v="2"/>
    <s v="FUNCIONAMIENTO"/>
    <x v="301"/>
    <d v="2022-09-15T00:00:00"/>
    <n v="3474800"/>
    <s v="ENSAYOS DE APTITUD Y METROLOGIA DE COLOMBIA SAS"/>
    <n v="202208546"/>
    <n v="0"/>
    <m/>
    <m/>
    <m/>
    <m/>
    <m/>
    <s v="BOGOTA"/>
    <s v="NACIONAL"/>
    <m/>
    <n v="0"/>
    <x v="0"/>
    <n v="1"/>
    <n v="35"/>
  </r>
  <r>
    <n v="456"/>
    <s v="0499"/>
    <x v="2"/>
    <d v="2022-08-10T00:00:00"/>
    <x v="8"/>
    <s v="GAA0768_x000a_GAA0769"/>
    <s v="FR-300-GAA-0219-2022"/>
    <s v="300-CMA-1974-2020"/>
    <s v="Suministro materiales de ferreteria y tubería para la construcción para la Unidad de Atención Operativa de la UENAA/ Suministro de herramientas y equipos para la Unidad de Atención Operativa de la GUENAA"/>
    <n v="1799959803"/>
    <s v="18 DE NOVIEMBRE 2022"/>
    <s v="N/A"/>
    <m/>
    <s v="202204510_x000a_202204511_x000a_202204512"/>
    <n v="1799959803"/>
    <s v="N/A"/>
    <s v="N/A"/>
    <s v="N/A"/>
    <x v="1"/>
    <s v="LUCY ARBELAEZ"/>
    <d v="2022-08-10T00:00:00"/>
    <e v="#VALUE!"/>
    <e v="#VALUE!"/>
    <s v="SI"/>
    <s v="Entregado al area"/>
    <x v="1"/>
    <m/>
    <m/>
    <d v="2022-09-08T00:00:00"/>
    <x v="11"/>
    <m/>
    <n v="29"/>
    <n v="29"/>
    <x v="0"/>
    <s v="FUNCIONAMIENTO"/>
    <x v="302"/>
    <d v="2022-09-15T00:00:00"/>
    <n v="1783140684"/>
    <s v="EQUIPOS Y HERRAMIENTAS INDUSTRIALES"/>
    <n v="202208290"/>
    <n v="16819119"/>
    <m/>
    <m/>
    <m/>
    <m/>
    <m/>
    <s v="CALI"/>
    <s v="LOCAL"/>
    <m/>
    <n v="9.3441636707483743E-3"/>
    <x v="0"/>
    <n v="0"/>
    <n v="29"/>
  </r>
  <r>
    <n v="457"/>
    <s v="0500"/>
    <x v="5"/>
    <d v="2022-08-10T00:00:00"/>
    <x v="8"/>
    <s v="GHA0236"/>
    <s v="FR-800-GHA-0159-2022"/>
    <s v="800-CMA-1914-2021"/>
    <s v="Realizar las actividades necesarias para llevar a cabo las adecuaciones locativas y mantenimiento preventivo y correctivo en la Gerencia de Unidad Estrategica de Negocio de Acueducto y Alcantarillado - Planta Calle 13, área auditorio"/>
    <n v="675958168"/>
    <s v="31 DE DICIEMBRE 2022"/>
    <s v="N/A"/>
    <m/>
    <n v="202203548"/>
    <n v="676000000"/>
    <s v="N/A"/>
    <s v="N/A"/>
    <s v="N/A"/>
    <x v="1"/>
    <s v="FRANCIA RAMÍREZ"/>
    <d v="2022-08-10T00:00:00"/>
    <e v="#VALUE!"/>
    <e v="#VALUE!"/>
    <s v="SI"/>
    <s v="Entregado al area"/>
    <x v="1"/>
    <m/>
    <m/>
    <d v="2022-09-26T00:00:00"/>
    <x v="11"/>
    <m/>
    <n v="47"/>
    <n v="47"/>
    <x v="0"/>
    <s v="FUNCIONAMIENTO"/>
    <x v="303"/>
    <d v="2022-09-15T00:00:00"/>
    <n v="643929010"/>
    <s v="UNION TEMPORAL M&amp;C2021"/>
    <n v="202208538"/>
    <n v="32029158"/>
    <m/>
    <m/>
    <m/>
    <m/>
    <m/>
    <s v="CALI"/>
    <s v="LOCAL"/>
    <m/>
    <n v="4.7383343402398241E-2"/>
    <x v="1"/>
    <n v="0"/>
    <n v="47"/>
  </r>
  <r>
    <n v="458"/>
    <s v="0501"/>
    <x v="5"/>
    <d v="2022-08-10T00:00:00"/>
    <x v="8"/>
    <s v="GHA0264"/>
    <s v="FR-800-GHA-0179-2022"/>
    <s v="N/A"/>
    <s v="Realizar las actividades necesarias para construir un sistema de bombeo en el edificio Boulevar del Río de EMCALI"/>
    <n v="73187177"/>
    <s v="31 DE DICIEMBRE 2022"/>
    <s v="900-IP-0501-2022"/>
    <m/>
    <s v="202203556_x000a_202203592_x000a_202203629"/>
    <n v="73187177"/>
    <s v="N/A"/>
    <s v="N/A"/>
    <s v="N/A"/>
    <x v="2"/>
    <s v="JHON LARRY "/>
    <d v="2022-08-12T00:00:00"/>
    <e v="#VALUE!"/>
    <e v="#VALUE!"/>
    <s v="SI"/>
    <s v="Entregado al area"/>
    <x v="1"/>
    <m/>
    <m/>
    <d v="2022-09-23T00:00:00"/>
    <x v="11"/>
    <m/>
    <n v="44"/>
    <n v="42"/>
    <x v="2"/>
    <s v="FUNCIONAMIENTO"/>
    <x v="304"/>
    <d v="2022-09-15T00:00:00"/>
    <n v="73187177"/>
    <s v="DIEGO MAURICIO ESTRADA CHAVEZ"/>
    <n v="202208575"/>
    <n v="0"/>
    <m/>
    <m/>
    <m/>
    <m/>
    <m/>
    <s v="CALI"/>
    <s v="LOCAL"/>
    <m/>
    <n v="0"/>
    <x v="1"/>
    <n v="1"/>
    <n v="26"/>
  </r>
  <r>
    <n v="459"/>
    <s v="0502"/>
    <x v="5"/>
    <d v="2022-08-10T00:00:00"/>
    <x v="8"/>
    <s v="GHA0069"/>
    <s v="FR-800-GHA-0186-2022"/>
    <s v="N/A"/>
    <s v="Realizar la compra de artículos de papelería, utiles de escritorio y oficina para las dependencias de EMCALI EICE ESP"/>
    <n v="489808988"/>
    <m/>
    <s v="900-IP-0502-2022"/>
    <s v="IP-"/>
    <s v="202204402_x000a_202204454_x000a_202202956_x000a_202203551_x000a_202203606_x000a_202201123_x000a_202205270"/>
    <m/>
    <s v="N/A"/>
    <s v="N/A"/>
    <s v="N/A"/>
    <x v="2"/>
    <s v="JULIETA ORTIZ"/>
    <d v="2022-08-12T00:00:00"/>
    <e v="#VALUE!"/>
    <e v="#VALUE!"/>
    <m/>
    <s v="Devuelto"/>
    <x v="2"/>
    <d v="2022-12-16T00:00:00"/>
    <s v="28 de septiembre en elaboracion de fpa e invitacion_x000a_12-11-2022 El FPA y La INVITACION PRIVADA ya fueron revisadas y se esta en el ajuste de las imputaciones presupuestales con el nuevo CDP expedido por SAP."/>
    <d v="2022-09-29T00:00:00"/>
    <x v="5"/>
    <s v="sep"/>
    <n v="50"/>
    <n v="48"/>
    <x v="3"/>
    <s v="FUNCIONAMIENTO"/>
    <x v="0"/>
    <m/>
    <m/>
    <m/>
    <m/>
    <m/>
    <m/>
    <m/>
    <m/>
    <m/>
    <m/>
    <m/>
    <m/>
    <m/>
    <m/>
    <x v="1"/>
    <m/>
    <m/>
  </r>
  <r>
    <n v="460"/>
    <s v="0503"/>
    <x v="1"/>
    <d v="2022-08-11T00:00:00"/>
    <x v="8"/>
    <s v="GE0343"/>
    <s v="FR-500-GE-0241-2022"/>
    <s v="N/A"/>
    <s v="Suministro, montaje y puesta en funcionamiento de un Sistema Solar  Fotovoltaico de generación con potancia instalada en DC de 10 kWp, en el cliente Pranha Urbano Constructora"/>
    <n v="57218550"/>
    <m/>
    <s v="900-IP-0503-2022"/>
    <m/>
    <n v="202205609"/>
    <m/>
    <s v="N/A"/>
    <s v="N/A"/>
    <s v="N/A"/>
    <x v="2"/>
    <s v="PAOLA BELTRAN"/>
    <d v="2022-08-12T00:00:00"/>
    <n v="89"/>
    <n v="88"/>
    <s v="SI"/>
    <s v="Entregado al area"/>
    <x v="1"/>
    <s v="28 DE SEPTIEMBRE SOLICITUD DE POLIZAS"/>
    <m/>
    <d v="2022-10-18T00:00:00"/>
    <x v="12"/>
    <n v="68"/>
    <m/>
    <n v="67"/>
    <x v="2"/>
    <s v="INVERSION"/>
    <x v="305"/>
    <d v="2022-09-15T00:00:00"/>
    <n v="57218550"/>
    <s v="WEEM ENERGY SAS"/>
    <n v="202208548"/>
    <n v="0"/>
    <s v="BOGOTA"/>
    <s v="NACIONAL"/>
    <m/>
    <m/>
    <m/>
    <m/>
    <m/>
    <m/>
    <n v="0"/>
    <x v="0"/>
    <n v="1"/>
    <n v="38"/>
  </r>
  <r>
    <n v="461"/>
    <s v="0504"/>
    <x v="1"/>
    <d v="2022-08-11T00:00:00"/>
    <x v="8"/>
    <s v="GE0345"/>
    <s v="FR-500-GE-0242-2022"/>
    <s v="N/A"/>
    <s v="Suministro, montaje y puesta en funcionamiento de un Sistema Solar Fotovoltaico de generación con potencia instalada en DC de 20 kWp, en el cliente Centro Cultural de Cali."/>
    <n v="114437099"/>
    <m/>
    <s v="900-IP-0504-2022"/>
    <s v="IP-"/>
    <n v="202205611"/>
    <m/>
    <s v="N/A"/>
    <s v="N/A"/>
    <s v="N/A"/>
    <x v="2"/>
    <s v="PAOLA BELTRAN"/>
    <d v="2022-08-12T00:00:00"/>
    <e v="#VALUE!"/>
    <e v="#VALUE!"/>
    <s v="SI"/>
    <s v="Solicitud de Polizas y Rp"/>
    <x v="1"/>
    <m/>
    <s v="28 DE SEPTIEMBRE SOLICITUD DE POLIZAS"/>
    <d v="2022-10-10T00:00:00"/>
    <x v="13"/>
    <s v="oct"/>
    <n v="60"/>
    <n v="59"/>
    <x v="2"/>
    <s v="INVERSION"/>
    <x v="306"/>
    <d v="2022-09-15T00:00:00"/>
    <n v="114437099"/>
    <s v="GRUPO DE INGENIERIA E INVERSIONES SAS"/>
    <n v="202208508"/>
    <n v="0"/>
    <m/>
    <m/>
    <m/>
    <m/>
    <m/>
    <m/>
    <m/>
    <m/>
    <n v="0"/>
    <x v="0"/>
    <n v="1"/>
    <n v="28"/>
  </r>
  <r>
    <n v="462"/>
    <s v="0505"/>
    <x v="1"/>
    <d v="2022-08-11T00:00:00"/>
    <x v="8"/>
    <s v="GE0344"/>
    <s v="FR-500-GE-0243-2022"/>
    <s v="N/A"/>
    <s v="Suministro, montaje y puesta en funcionamiento de un Sistema Solar Fotovoltaico de generación con potencia instalada en DC de 12 kWp, en el cliente Institución Educativa Decepaz"/>
    <n v="68662260"/>
    <m/>
    <s v="900-IP-0505-2022"/>
    <s v="IP-"/>
    <n v="202205610"/>
    <m/>
    <s v="N/A"/>
    <s v="N/A"/>
    <s v="N/A"/>
    <x v="2"/>
    <s v="PAOLA BELTRAN"/>
    <d v="2022-08-12T00:00:00"/>
    <e v="#VALUE!"/>
    <e v="#VALUE!"/>
    <s v="SI"/>
    <s v="Solicitud de Polizas y Rp"/>
    <x v="1"/>
    <d v="2022-11-30T00:00:00"/>
    <s v="28 DE SEPTIEMBRE SOLICITUD DE POLIZAS"/>
    <d v="2022-10-10T00:00:00"/>
    <x v="13"/>
    <s v="oct"/>
    <n v="60"/>
    <n v="59"/>
    <x v="2"/>
    <s v="INVERSION"/>
    <x v="307"/>
    <d v="2022-09-15T00:00:00"/>
    <n v="68662260"/>
    <s v="ENERWATTS INGENIERIA SAS "/>
    <n v="202208540"/>
    <n v="0"/>
    <m/>
    <m/>
    <m/>
    <m/>
    <m/>
    <m/>
    <m/>
    <m/>
    <n v="0"/>
    <x v="0"/>
    <n v="1"/>
    <n v="28"/>
  </r>
  <r>
    <n v="463"/>
    <s v="0506"/>
    <x v="1"/>
    <d v="2022-08-11T00:00:00"/>
    <x v="8"/>
    <s v="GE0347"/>
    <s v="FR-500-GE-0245-2022"/>
    <s v="N/A"/>
    <s v="Suministro, montaje y puesta en funcionamiento de un Sistema Solar Fotovoltaico de generación con potencia instalada en DC de 200 kWp, para el cliente TELEFONICA DE COLON EMCALI"/>
    <n v="1032986133"/>
    <m/>
    <s v="900-IPU-0506-2022"/>
    <s v="IPU"/>
    <n v="202205613"/>
    <m/>
    <s v="N/A"/>
    <s v="N/A"/>
    <s v="N/A"/>
    <x v="0"/>
    <s v="PAOLA BELTRAN"/>
    <d v="2022-08-24T00:00:00"/>
    <e v="#VALUE!"/>
    <e v="#VALUE!"/>
    <s v="NO"/>
    <s v="Devuelto"/>
    <x v="2"/>
    <m/>
    <s v="28 DE SEPTIEMBRE EN REVISON DE LA CC POR PARTE DE SILVIA_x000a_31 DE OCTUBRE SE DEVUELVE PORQUE NO SE ALCANZA A TRAMITAR"/>
    <d v="2022-10-31T00:00:00"/>
    <x v="5"/>
    <s v="oct"/>
    <n v="81"/>
    <n v="68"/>
    <x v="0"/>
    <s v="INVERSION"/>
    <x v="0"/>
    <m/>
    <m/>
    <m/>
    <m/>
    <m/>
    <m/>
    <m/>
    <m/>
    <m/>
    <m/>
    <m/>
    <m/>
    <m/>
    <m/>
    <x v="0"/>
    <m/>
    <m/>
  </r>
  <r>
    <n v="464"/>
    <s v="0507"/>
    <x v="2"/>
    <d v="2022-08-11T00:00:00"/>
    <x v="8"/>
    <s v="GAA0105"/>
    <s v="FR-300-GAA-0221-2022"/>
    <s v="N/A"/>
    <s v="Mantenimiento de Planta Eléctrica de Emergencia - Planta Calle 13 y del CCM"/>
    <n v="23000000"/>
    <s v="45 DIAS"/>
    <s v="900-IP-0507-2022"/>
    <m/>
    <n v="202204377"/>
    <n v="23000000"/>
    <s v="N/A"/>
    <s v="N/A"/>
    <s v="N/A"/>
    <x v="2"/>
    <s v="JULIETA ORTIZ"/>
    <d v="2022-08-12T00:00:00"/>
    <e v="#VALUE!"/>
    <e v="#VALUE!"/>
    <s v="SI"/>
    <s v="Entregado al area"/>
    <x v="1"/>
    <m/>
    <m/>
    <d v="2022-09-26T00:00:00"/>
    <x v="11"/>
    <m/>
    <n v="46"/>
    <n v="45"/>
    <x v="2"/>
    <s v="FUNCIONAMIENTO"/>
    <x v="308"/>
    <d v="2022-09-15T00:00:00"/>
    <n v="22478745"/>
    <s v="LACC INGENIERA SAS"/>
    <n v="202208530"/>
    <n v="521255"/>
    <m/>
    <m/>
    <m/>
    <m/>
    <m/>
    <s v="CALI"/>
    <s v="LOCAL"/>
    <m/>
    <n v="2.2663260869565216E-2"/>
    <x v="0"/>
    <n v="1"/>
    <n v="32"/>
  </r>
  <r>
    <n v="465"/>
    <s v="0508"/>
    <x v="5"/>
    <d v="2022-08-11T00:00:00"/>
    <x v="8"/>
    <s v="GHA0248"/>
    <s v="FR-800-GHA-0178-2022"/>
    <s v="800-CMA-1925-2021"/>
    <s v="Realizar las actividades necesarias para llevar a cabo las adecuaciones locativas y mantenimiento preventivo y correctivo en las sedes pertenecientes al corporativo de EMCALI - Almacen Central y Centro de Atención y Recaudo del Centro Comercial La Estación"/>
    <n v="479666592"/>
    <s v="31 DE DICIEMBRE 2022"/>
    <s v="N/A"/>
    <m/>
    <n v="202204126"/>
    <n v="479666592"/>
    <s v="N/A"/>
    <s v="N/A"/>
    <s v="N/A"/>
    <x v="1"/>
    <s v="FRANCIA RAMÍREZ"/>
    <d v="2022-08-11T00:00:00"/>
    <e v="#VALUE!"/>
    <e v="#VALUE!"/>
    <s v="SI"/>
    <s v="Entregado al area"/>
    <x v="1"/>
    <m/>
    <m/>
    <d v="2022-09-26T00:00:00"/>
    <x v="11"/>
    <m/>
    <n v="46"/>
    <n v="46"/>
    <x v="0"/>
    <s v="FUNCIONAMIENTO"/>
    <x v="309"/>
    <d v="2022-09-15T00:00:00"/>
    <n v="468344128"/>
    <s v="CONSORCIO DOMAQ 2021"/>
    <n v="202208537"/>
    <n v="11322464"/>
    <m/>
    <m/>
    <m/>
    <m/>
    <m/>
    <s v="CALI"/>
    <s v="LOCAL"/>
    <m/>
    <n v="2.3604862604231565E-2"/>
    <x v="1"/>
    <n v="0"/>
    <n v="46"/>
  </r>
  <r>
    <n v="466"/>
    <s v="0509"/>
    <x v="2"/>
    <d v="2022-08-11T00:00:00"/>
    <x v="8"/>
    <s v="GAA0778"/>
    <s v="FR-300-GAA-0220-2022"/>
    <s v="N/A"/>
    <s v="Prestación del servicio de transporte para el seguimiento y control de las actividades operativas que contribuyen al cumplimiento del Plan de Reducción de Perdidas de la UENAA establecido ante la SSPD"/>
    <n v="127950000"/>
    <s v="90 DIAS"/>
    <s v="900-IP-0509-2022"/>
    <m/>
    <s v="202205458_x000a_202205429"/>
    <n v="127950000"/>
    <s v="N/A"/>
    <s v="N/A"/>
    <s v="N/A"/>
    <x v="2"/>
    <s v="PAOLA BELTRAN"/>
    <d v="2022-08-11T00:00:00"/>
    <e v="#VALUE!"/>
    <e v="#VALUE!"/>
    <s v="SI"/>
    <s v="Entregado al area"/>
    <x v="1"/>
    <m/>
    <m/>
    <d v="2022-09-15T00:00:00"/>
    <x v="11"/>
    <m/>
    <n v="35"/>
    <n v="35"/>
    <x v="2"/>
    <s v="FUNCIONAMIENTO"/>
    <x v="310"/>
    <d v="2022-09-08T00:00:00"/>
    <n v="107439632"/>
    <s v="FERNANDO CAICEDO SUAREZ"/>
    <m/>
    <n v="20510368"/>
    <m/>
    <m/>
    <m/>
    <m/>
    <m/>
    <s v="CALI"/>
    <s v="LOCAL"/>
    <m/>
    <n v="0.16029986713559985"/>
    <x v="0"/>
    <n v="1"/>
    <n v="25"/>
  </r>
  <r>
    <n v="467"/>
    <s v="0510"/>
    <x v="1"/>
    <d v="2022-08-11T00:00:00"/>
    <x v="8"/>
    <s v="GE0280"/>
    <s v="FR-500-GE-0204-2022"/>
    <s v="N/A"/>
    <s v="Suministro e instalación de dos puntos de estaciones de recarga vehicular rapida modo 4 AC/DC y estaciones de recarga semi rapidas en AC en los Centros Comerciales Chipichape Cali (4: una rapida y tres semi rapida) y Centro Comercial Calima (4: una rapida y dos semi rapidas), diseño eléctrico de cada proyecto para su instalación, adecuación del espacio (obra civil), realizar instalación eléctrica de suministro de energía para las estaciones de recarga con base en el prediseño, certificado RETIE de uso final de la instalación Eléctrica con base en el diseño final, implementación de comunicaciones para su gestión remota de la estación de recarga, servicios de gestión remota con software de fabricante, rutinas de mantenimiento y soporte a incidentes. Todo con base en las especificaciones técnicas definidas"/>
    <n v="1799998547"/>
    <m/>
    <s v="900-IP-510-2022"/>
    <s v="IP-"/>
    <s v="202203496_x000a_202203505"/>
    <m/>
    <s v="108-202200011"/>
    <s v="N/A"/>
    <s v="N/A"/>
    <x v="2"/>
    <s v="JULIETA ORTIZ"/>
    <d v="2022-08-12T00:00:00"/>
    <e v="#VALUE!"/>
    <e v="#VALUE!"/>
    <s v="NO"/>
    <s v="Devuelto"/>
    <x v="2"/>
    <m/>
    <s v="31 de agosto en unificacion de los conceptos_x000a_28 DE  SEPTIEMBRE EN ELABOACION DE LA FPA E INVITACION El FPA esta lista para revision y en elaboracion La CC, para continuar con el proceso. _x000a_12-11-2022, El dia 11-11-2022 el asesor Franz Eisen Hower Arias me dio instrucciones de elaborar un oficio para la devolucion del proceso en razon a que habia nconsistencias en la Definicion Tecnica Vs. Alcance del Proceso. Asi  mismo por la no aprobacion del Pago de Anticipo por no tener una justificacion valida.que el  "/>
    <d v="2022-11-11T00:00:00"/>
    <x v="5"/>
    <s v="nov"/>
    <n v="92"/>
    <n v="91"/>
    <x v="3"/>
    <s v="INVERSION"/>
    <x v="0"/>
    <m/>
    <m/>
    <m/>
    <m/>
    <m/>
    <m/>
    <m/>
    <m/>
    <m/>
    <m/>
    <m/>
    <m/>
    <m/>
    <m/>
    <x v="0"/>
    <m/>
    <m/>
  </r>
  <r>
    <n v="468"/>
    <s v="0511"/>
    <x v="1"/>
    <d v="2022-08-11T00:00:00"/>
    <x v="8"/>
    <s v="GE0363"/>
    <s v="FR-500-GE-0244-2022"/>
    <s v="N/A"/>
    <s v="Servicios de prueba de aceptación y diagnóstigo a una terna de cables subterráneos del circuito AUTOPISTA"/>
    <n v="6220169"/>
    <s v="2 MESES"/>
    <s v="900-IP-0511-2022"/>
    <m/>
    <n v="202205585"/>
    <n v="6300000"/>
    <s v="N/A"/>
    <s v="N/A"/>
    <s v="N/A"/>
    <x v="2"/>
    <s v="JULIO ERAZO"/>
    <d v="2022-08-12T00:00:00"/>
    <e v="#VALUE!"/>
    <e v="#VALUE!"/>
    <s v="SI"/>
    <s v="Entregado al area"/>
    <x v="1"/>
    <m/>
    <m/>
    <d v="2022-09-12T00:00:00"/>
    <x v="11"/>
    <m/>
    <n v="32"/>
    <n v="31"/>
    <x v="2"/>
    <s v="FUNCIONAMIENTO"/>
    <x v="311"/>
    <d v="2022-09-07T00:00:00"/>
    <n v="6220169"/>
    <s v="POTENCIAS Y TECNOLOGIAS INCORPORADAS SA "/>
    <n v="202208341"/>
    <n v="0"/>
    <m/>
    <m/>
    <m/>
    <m/>
    <m/>
    <m/>
    <m/>
    <m/>
    <n v="0"/>
    <x v="0"/>
    <n v="1"/>
    <n v="22"/>
  </r>
  <r>
    <n v="469"/>
    <s v="0512"/>
    <x v="2"/>
    <d v="2022-08-12T00:00:00"/>
    <x v="8"/>
    <s v="GAA0784"/>
    <s v="FR-300-GAA-0222-2022"/>
    <s v="N/A"/>
    <s v="Construcción camara en concreto reforzado barrio Lourdes"/>
    <n v="240344958"/>
    <s v="70 DIAS"/>
    <s v="900-IP-0512-2022"/>
    <m/>
    <n v="202204550"/>
    <n v="260000000"/>
    <s v="N/A"/>
    <s v="N/A"/>
    <s v="N/A"/>
    <x v="2"/>
    <s v="LAURA ANGEL"/>
    <d v="2022-08-12T00:00:00"/>
    <m/>
    <m/>
    <s v="SI"/>
    <s v="Entregado al area"/>
    <x v="1"/>
    <m/>
    <m/>
    <d v="2022-08-30T00:00:00"/>
    <x v="1"/>
    <m/>
    <n v="18"/>
    <n v="18"/>
    <x v="2"/>
    <s v="INVERSION"/>
    <x v="312"/>
    <d v="2022-08-26T00:00:00"/>
    <n v="240014937"/>
    <s v="ALVARO LAZARO DEL VALLE"/>
    <n v="202207960"/>
    <n v="330021"/>
    <m/>
    <m/>
    <m/>
    <m/>
    <m/>
    <s v="CALI"/>
    <s v="LOCAL"/>
    <m/>
    <n v="1.3731138890793789E-3"/>
    <x v="0"/>
    <n v="1"/>
    <n v="12"/>
  </r>
  <r>
    <n v="470"/>
    <s v="0513"/>
    <x v="2"/>
    <d v="2022-08-12T00:00:00"/>
    <x v="8"/>
    <s v="GAA0783"/>
    <s v="FR-300-GAA-0223-2022"/>
    <s v="N/A"/>
    <s v="Reposición redes de Acueducto y Alcantarillado Comunas 1, 18 y 20 y reposición Acueducto barrio Manzanares"/>
    <n v="147703526"/>
    <s v="18 DE NOVIEMBRE 2022"/>
    <s v="900-IP-0513-2022"/>
    <m/>
    <n v="202205571"/>
    <n v="147703526"/>
    <s v="N/A"/>
    <s v="N/A"/>
    <s v="N/A"/>
    <x v="2"/>
    <s v="LAURA ANGEL"/>
    <d v="2022-08-12T00:00:00"/>
    <m/>
    <m/>
    <s v="SI"/>
    <s v="Entregado al area"/>
    <x v="1"/>
    <m/>
    <m/>
    <d v="2022-08-31T00:00:00"/>
    <x v="1"/>
    <m/>
    <n v="19"/>
    <n v="19"/>
    <x v="2"/>
    <s v="INVERSION"/>
    <x v="313"/>
    <d v="2022-08-26T00:00:00"/>
    <n v="147701432"/>
    <s v="ICONSA INGENIEROS  CONSTRUCTORES ASOCIADOS LTDA"/>
    <n v="202207956"/>
    <n v="2094"/>
    <m/>
    <m/>
    <m/>
    <m/>
    <m/>
    <s v="CALI"/>
    <s v="LOCAL"/>
    <m/>
    <n v="1.4177048149818712E-5"/>
    <x v="0"/>
    <n v="1"/>
    <n v="13"/>
  </r>
  <r>
    <n v="471"/>
    <s v="0514"/>
    <x v="0"/>
    <d v="2022-08-16T00:00:00"/>
    <x v="8"/>
    <s v="PENDIENTE"/>
    <s v="FR-400-GT-0158-2022"/>
    <s v="N/A"/>
    <s v="Suministro y capacitación de EQUIPOS DE COMUNICACIONES Y software de Gestión de Redes Inalambricas Site Survey, para apoyar y soportar las isntalaciones de soluciones de Gobierno, Corporativas y/o empresariales y eventos"/>
    <n v="1000000000"/>
    <s v="60 DIAS"/>
    <s v="900-IP-0514-2022"/>
    <m/>
    <n v="202203593"/>
    <m/>
    <s v="N/A"/>
    <s v="N/A"/>
    <s v="N/A"/>
    <x v="2"/>
    <s v="JULIETA ORTIZ"/>
    <d v="2022-08-16T00:00:00"/>
    <e v="#VALUE!"/>
    <e v="#VALUE!"/>
    <s v="SI"/>
    <s v="Entregado al area"/>
    <x v="1"/>
    <m/>
    <m/>
    <d v="2022-09-22T00:00:00"/>
    <x v="11"/>
    <m/>
    <n v="37"/>
    <n v="37"/>
    <x v="5"/>
    <s v="INVERSION"/>
    <x v="314"/>
    <d v="2022-09-15T00:00:00"/>
    <n v="958726933"/>
    <s v="BOYRA SA"/>
    <n v="202208550"/>
    <n v="41273067"/>
    <m/>
    <m/>
    <m/>
    <m/>
    <m/>
    <s v="BOGOTA"/>
    <s v="NACIONAL"/>
    <m/>
    <n v="4.1273066999999997E-2"/>
    <x v="0"/>
    <n v="1"/>
    <n v="27"/>
  </r>
  <r>
    <n v="472"/>
    <s v="0515"/>
    <x v="2"/>
    <d v="2022-08-16T00:00:00"/>
    <x v="8"/>
    <s v="PENDIENTE"/>
    <s v="FR-300-GAA-0075-2022"/>
    <s v="N/A"/>
    <s v="Suministro de lubricantes para todas las estaciones de bombeo de aguas lluvias y/o residuales"/>
    <n v="52771303"/>
    <s v="3 MESES"/>
    <s v="900-IP-0515-2022"/>
    <m/>
    <n v="202201835"/>
    <n v="52771303"/>
    <s v="N/A"/>
    <s v="N/A"/>
    <s v="N/A"/>
    <x v="2"/>
    <s v="JULIO GARCIA"/>
    <d v="2022-08-16T00:00:00"/>
    <n v="29"/>
    <n v="29"/>
    <s v="SI"/>
    <s v="Entregado al area"/>
    <x v="1"/>
    <m/>
    <m/>
    <d v="2022-08-25T00:00:00"/>
    <x v="1"/>
    <m/>
    <n v="9"/>
    <n v="9"/>
    <x v="2"/>
    <s v="FUNCIONAMIENTO"/>
    <x v="315"/>
    <d v="2022-08-24T00:00:00"/>
    <n v="52750385"/>
    <s v="MUNDIAL DE FILTROS"/>
    <n v="202207896"/>
    <n v="20918"/>
    <m/>
    <m/>
    <m/>
    <m/>
    <m/>
    <s v="CALI"/>
    <s v="LOCAL"/>
    <m/>
    <n v="3.963896817177321E-4"/>
    <x v="0"/>
    <n v="1"/>
    <n v="7"/>
  </r>
  <r>
    <n v="473"/>
    <s v="0517"/>
    <x v="1"/>
    <d v="2022-08-17T00:00:00"/>
    <x v="8"/>
    <s v="GE0376"/>
    <s v="FR-500-GE-0198-2022"/>
    <s v="N/A"/>
    <s v="Realizar el mantenimiento preventivo a las redes eléctricas del SDL de energía, consistente en la poda técnica de árboles que interfieren con las redes de energía eléctrica energizadas y el control de malezas en las subestaciones de energía de la GUENE."/>
    <n v="7345655149"/>
    <m/>
    <s v="900-IP-517-2022"/>
    <s v="IP-"/>
    <n v="202202695"/>
    <m/>
    <s v="108-202200003"/>
    <s v="N/A"/>
    <s v="N/A"/>
    <x v="2"/>
    <s v="HAROLD MONDRAGON"/>
    <d v="2022-08-17T00:00:00"/>
    <e v="#VALUE!"/>
    <e v="#VALUE!"/>
    <s v="NO"/>
    <s v="Cerrado"/>
    <x v="0"/>
    <d v="2022-11-24T00:00:00"/>
    <s v="31 de agosto en recepcion de ofertas_x000a_26 DE SEPTIEMBRE EN ESPERA DE LA FIRMA DEL ACTA DE ADJUDICACION. QUEDO PENDIENTE LA FIRMA DEL GERENTE GENERAL_x000a_09-11-2022, EN DIRECCION JURIDICA GG_x000a_18-11-2022, acta de cierre para firma de GG_x000a_24-11-2022, SE PUBLICOACTA DE TERMINACION EL 23-11-2022"/>
    <d v="2022-11-23T00:00:00"/>
    <x v="5"/>
    <s v="nov"/>
    <n v="98"/>
    <n v="98"/>
    <x v="5"/>
    <s v="FUNCIONAMIENTO"/>
    <x v="0"/>
    <m/>
    <m/>
    <m/>
    <m/>
    <m/>
    <m/>
    <m/>
    <m/>
    <m/>
    <m/>
    <m/>
    <m/>
    <m/>
    <m/>
    <x v="0"/>
    <m/>
    <m/>
  </r>
  <r>
    <n v="474"/>
    <s v="0518"/>
    <x v="0"/>
    <d v="2022-08-17T00:00:00"/>
    <x v="8"/>
    <s v="GT0175"/>
    <s v="FR-400-GT-0198-2022"/>
    <s v="N/A"/>
    <s v="Realizar el mantenimiento al Sistema de Extinción de Incendios de los DATA CENTER de LIMONAR Y SAN FERNANDO pertenecientes a la GUENTIC de EMCALI EICE ESP"/>
    <n v="11201470"/>
    <s v="28 DE NOVIEMBRE 2022"/>
    <s v="900-IP-0518-2022"/>
    <m/>
    <n v="202202937"/>
    <n v="12000000"/>
    <s v="N/A"/>
    <s v="N/A"/>
    <s v="N/A"/>
    <x v="2"/>
    <s v="CAMILO NUÑEZ"/>
    <d v="2022-08-19T00:00:00"/>
    <n v="83"/>
    <n v="81"/>
    <s v="SI"/>
    <s v="Entregado al area"/>
    <x v="1"/>
    <s v="28 DE SEPTIEMBRE EN SOLICITUD DE POLIZAS"/>
    <m/>
    <d v="2022-10-06T00:00:00"/>
    <x v="12"/>
    <n v="50"/>
    <m/>
    <n v="48"/>
    <x v="2"/>
    <s v="FUNCIONAMIENTO"/>
    <x v="316"/>
    <d v="2022-09-14T00:00:00"/>
    <n v="11201470"/>
    <s v="TECHNO FUEGO SAS"/>
    <n v="202208435"/>
    <n v="0"/>
    <s v="CALI"/>
    <s v="LOCAL"/>
    <m/>
    <m/>
    <m/>
    <m/>
    <m/>
    <m/>
    <n v="0"/>
    <x v="0"/>
    <n v="1"/>
    <n v="36"/>
  </r>
  <r>
    <n v="475"/>
    <s v="0519"/>
    <x v="3"/>
    <d v="2022-08-17T00:00:00"/>
    <x v="8"/>
    <s v="GT0182_x000a_GT0183"/>
    <s v="FR-400-GT-0196-2022"/>
    <s v="N/A"/>
    <s v="Suministro de herramientas de monitoreo y análisis de señales en IP para mediciones de calidad de experiencia (QoE) y calidad de servicio (QoS) para audio y video con histórico, el cual incluye alarmas y análisis en tiempo real ETSI TR 101 290 para Transport Stream, Multicast/Unicast, incluye los servicios de cableado, instalación, configuración, integración, pruebas y puestas en servicio, incluyendo el entrenamiento de los equipos adquiridos, y soporte extendido por un año."/>
    <n v="205244893"/>
    <m/>
    <s v="900-IP-0519-2022"/>
    <s v="IP-"/>
    <s v="202204554_x000a_202205462"/>
    <m/>
    <s v="N/A"/>
    <s v="N/A"/>
    <s v="N/A"/>
    <x v="2"/>
    <s v="JULIETA ORTIZ"/>
    <d v="2022-08-19T00:00:00"/>
    <e v="#VALUE!"/>
    <e v="#VALUE!"/>
    <m/>
    <s v="Cerrado"/>
    <x v="0"/>
    <d v="2022-12-09T00:00:00"/>
    <s v="28 de septiembre en revision de la fpa e invitacion_x000a_12-11-2022, El FPA y La INVITACION PRIVADA ya fueron y se esta en el ajuste de las imputaciones presupuestales con el nuevo CDP expedido a traves de SAP._x000a_16-12-2022, PROCESO CERRADO PORQUE NO SE RECIBIERON COTIZACIONES "/>
    <d v="2022-12-16T00:00:00"/>
    <x v="5"/>
    <s v="dic"/>
    <n v="121"/>
    <n v="119"/>
    <x v="3"/>
    <s v="FUNCIONAMIENTO"/>
    <x v="0"/>
    <m/>
    <m/>
    <m/>
    <m/>
    <m/>
    <m/>
    <m/>
    <m/>
    <m/>
    <m/>
    <m/>
    <m/>
    <m/>
    <m/>
    <x v="1"/>
    <m/>
    <m/>
  </r>
  <r>
    <n v="476"/>
    <s v="0520"/>
    <x v="1"/>
    <d v="2022-08-17T00:00:00"/>
    <x v="8"/>
    <s v="GE0290_x000a_GE0328"/>
    <s v="FR-500-GE-0237-2022"/>
    <s v="N/A"/>
    <s v="Suministro DDP de transformadores eléctricos de distribución"/>
    <n v="736990800"/>
    <m/>
    <s v="900-IP-0520-2022"/>
    <s v="IP-"/>
    <s v="202205605_x000a_202205608"/>
    <m/>
    <s v="N/A"/>
    <s v="N/A"/>
    <s v="N/A"/>
    <x v="2"/>
    <s v="JULIETA ORTIZ"/>
    <d v="2022-08-19T00:00:00"/>
    <e v="#VALUE!"/>
    <e v="#VALUE!"/>
    <m/>
    <s v="Cerrado"/>
    <x v="0"/>
    <d v="2022-12-16T00:00:00"/>
    <s v="28 DE SEPTIEMBRE EN COTIZACIONES _x000a_12-11-2022, El FPA esta lista para revision y en elaboracion la INVITACION, se recibio por parte del Area las modificaciones a la Ficha de Requerimiento, Presupuesto etc.,se esta en la etapa de solicitud de cotizaciones._x000a_09-12-2022, NO SE RECIBIERON OFERTAS "/>
    <d v="2022-12-16T00:00:00"/>
    <x v="5"/>
    <s v="dic"/>
    <n v="121"/>
    <n v="119"/>
    <x v="3"/>
    <s v="INVERSION"/>
    <x v="0"/>
    <m/>
    <m/>
    <m/>
    <m/>
    <m/>
    <m/>
    <m/>
    <m/>
    <m/>
    <m/>
    <m/>
    <m/>
    <m/>
    <m/>
    <x v="0"/>
    <m/>
    <m/>
  </r>
  <r>
    <n v="477"/>
    <s v="0521"/>
    <x v="1"/>
    <d v="2022-08-17T00:00:00"/>
    <x v="8"/>
    <s v="GE0378"/>
    <s v="FR-500-GE-0249-2022"/>
    <s v="500-CMA-1743-2021"/>
    <s v="Suministro de cable eléctrico - para acometida AC de proyecto solar. Planta de Tratamiento de Agua Potable Río Cauca."/>
    <n v="180708116"/>
    <s v="45 DIAS"/>
    <s v="N/A"/>
    <m/>
    <n v="202205619"/>
    <n v="180708116"/>
    <s v="N/A"/>
    <s v="N/A"/>
    <s v="N/A"/>
    <x v="1"/>
    <s v="ESTEFANIA SANCHEZ"/>
    <d v="2022-08-19T00:00:00"/>
    <e v="#VALUE!"/>
    <e v="#VALUE!"/>
    <s v="SI"/>
    <s v="Entregado al area"/>
    <x v="1"/>
    <m/>
    <m/>
    <d v="2022-09-14T00:00:00"/>
    <x v="11"/>
    <m/>
    <n v="28"/>
    <n v="26"/>
    <x v="0"/>
    <s v="INVERSION"/>
    <x v="317"/>
    <d v="2022-09-01T00:00:00"/>
    <n v="180708116"/>
    <s v="CABLES DE ENERGIA Y TELECOMUNICACIONES SAS"/>
    <n v="202208293"/>
    <n v="0"/>
    <m/>
    <m/>
    <m/>
    <m/>
    <m/>
    <s v="YUMBO"/>
    <s v="MUNICIPAL"/>
    <m/>
    <n v="0"/>
    <x v="0"/>
    <n v="0"/>
    <n v="28"/>
  </r>
  <r>
    <n v="478"/>
    <s v="0522"/>
    <x v="1"/>
    <d v="2022-08-18T00:00:00"/>
    <x v="8"/>
    <s v="GE0377"/>
    <s v="FR-500-GE-0196-2022"/>
    <s v="N/A"/>
    <s v="Suministro DDP y configuaración de medidores ION SCHNEIDER 92040 para la calidad de la energía en subestaciones, , clase A."/>
    <n v="886776000"/>
    <m/>
    <s v="900-IP-0522-2022"/>
    <s v="IP-"/>
    <n v="202202877"/>
    <m/>
    <s v="N/A"/>
    <s v="N/A"/>
    <s v="N/A"/>
    <x v="2"/>
    <s v="JULIETA ORTIZ"/>
    <d v="2022-08-18T00:00:00"/>
    <e v="#VALUE!"/>
    <e v="#VALUE!"/>
    <m/>
    <s v="Entregado al area"/>
    <x v="1"/>
    <d v="2022-12-16T00:00:00"/>
    <s v="28 de septiembre 2022 en evaluacion_x000a_ 12-11-2022, El IPU-0276 se Cerro y el 900-IP-0522-2022 esta en Evaluacion de la Propuesta recibida. Se eleboro AO. "/>
    <d v="2022-12-12T00:00:00"/>
    <x v="14"/>
    <s v="dic"/>
    <n v="116"/>
    <n v="116"/>
    <x v="2"/>
    <s v="INVERSION"/>
    <x v="318"/>
    <d v="2022-12-06T00:00:00"/>
    <n v="882875280"/>
    <s v="SOLLIVAN SMART SOLUTION SAS"/>
    <n v="202208815"/>
    <n v="3900720"/>
    <m/>
    <m/>
    <m/>
    <m/>
    <m/>
    <m/>
    <m/>
    <m/>
    <n v="4.3987658664645865E-3"/>
    <x v="0"/>
    <n v="1"/>
    <n v="55"/>
  </r>
  <r>
    <n v="479"/>
    <s v="0523"/>
    <x v="1"/>
    <d v="2022-08-18T00:00:00"/>
    <x v="8"/>
    <s v="GE0374"/>
    <s v="FR-500-GE-0239-2022"/>
    <s v="N/A"/>
    <s v="Mantenimiento Preventivo a Equipo Cromatrografo de Gases"/>
    <n v="9191539"/>
    <m/>
    <s v="900-IP-0523-2022"/>
    <s v="IP-"/>
    <n v="202205584"/>
    <m/>
    <s v="N/A"/>
    <s v="N/A"/>
    <s v="N/A"/>
    <x v="2"/>
    <s v="CAMILO NUÑEZ"/>
    <d v="2022-08-19T00:00:00"/>
    <e v="#VALUE!"/>
    <e v="#VALUE!"/>
    <s v="NO"/>
    <s v="Devuelto"/>
    <x v="2"/>
    <m/>
    <s v="28 DE SEPTIEMBRE DEVUELTO"/>
    <d v="2022-09-28T00:00:00"/>
    <x v="5"/>
    <s v="sep"/>
    <n v="41"/>
    <n v="40"/>
    <x v="2"/>
    <s v="FUNCIONAMIENTO"/>
    <x v="0"/>
    <m/>
    <m/>
    <m/>
    <m/>
    <m/>
    <m/>
    <m/>
    <m/>
    <m/>
    <m/>
    <m/>
    <m/>
    <m/>
    <m/>
    <x v="0"/>
    <m/>
    <m/>
  </r>
  <r>
    <n v="480"/>
    <s v="0524"/>
    <x v="1"/>
    <d v="2022-08-18T00:00:00"/>
    <x v="8"/>
    <s v="GE0232"/>
    <s v="FR-500-GE-0248-2022"/>
    <s v="N/A"/>
    <s v="Ejecutar las obras eléctricas y civiles descritas en el anexo 6, Especificación técnica materiales y mano de obra para realizar la reposición, expanción y modernización, necesarias para la ejecución de los proyectos de expansión y modernización del Sistema de Alumbrado Público establecidos en la Guía de Ejecución de proyectos de Alumbrado Público en el Distrito de Santiago de Cali conforme a los diseños y luminarias que entregue EMCALI EICE ESP, así como la reposición de los hurtos con recurrencia en sitio o en zonas de alto impacto, todo lo anterior cumpliendo con las normas técnicas de EMCALI EICE ESP, El Retie y El Retilap"/>
    <n v="8045091691"/>
    <m/>
    <s v="900-IP-524-2022"/>
    <s v="IP-"/>
    <n v="202204413"/>
    <m/>
    <m/>
    <m/>
    <s v="N/A"/>
    <x v="2"/>
    <s v="HAROLD MONDRAGON"/>
    <d v="2022-08-19T00:00:00"/>
    <e v="#VALUE!"/>
    <e v="#VALUE!"/>
    <m/>
    <s v="Cerrado"/>
    <x v="0"/>
    <d v="2022-11-30T00:00:00"/>
    <s v="28 DE SEPTIEMBRE EN EVALUACION_x000a_18-11-2022, proponente no cumple requisitos de idoneidad y financieros_x000a_30-11-2022, PROCESO CERRADO PENDIENTE FIRMA ACTA CIERRE POR PARTE DE GG"/>
    <d v="2022-11-30T00:00:00"/>
    <x v="5"/>
    <s v="nov"/>
    <n v="104"/>
    <n v="103"/>
    <x v="8"/>
    <s v="INVERSION"/>
    <x v="0"/>
    <m/>
    <m/>
    <m/>
    <m/>
    <m/>
    <m/>
    <m/>
    <m/>
    <m/>
    <m/>
    <m/>
    <m/>
    <m/>
    <m/>
    <x v="0"/>
    <m/>
    <m/>
  </r>
  <r>
    <n v="481"/>
    <s v="0525"/>
    <x v="10"/>
    <d v="2022-08-19T00:00:00"/>
    <x v="8"/>
    <s v="GC0515"/>
    <s v="FR-600-GC-0558-2022"/>
    <s v="N/A"/>
    <s v="Compra televisores, soportes para televisores y hornos microondas para los Centros de Atención y el Contact Center de EMCALI EICE ESP"/>
    <n v="43500000"/>
    <m/>
    <m/>
    <s v=""/>
    <n v="202201388"/>
    <m/>
    <m/>
    <m/>
    <s v="N/A"/>
    <x v="3"/>
    <s v="SIN ASIGNAR"/>
    <m/>
    <e v="#VALUE!"/>
    <e v="#VALUE!"/>
    <s v="NO"/>
    <s v="Devuelto"/>
    <x v="2"/>
    <m/>
    <m/>
    <d v="2022-11-15T00:00:00"/>
    <x v="5"/>
    <s v="nov"/>
    <n v="88"/>
    <n v="44880"/>
    <x v="3"/>
    <s v="FUNCIONAMIENTO"/>
    <x v="0"/>
    <m/>
    <m/>
    <m/>
    <m/>
    <m/>
    <m/>
    <m/>
    <m/>
    <m/>
    <m/>
    <m/>
    <m/>
    <m/>
    <m/>
    <x v="1"/>
    <m/>
    <m/>
  </r>
  <r>
    <n v="482"/>
    <s v="0526"/>
    <x v="1"/>
    <d v="2022-08-19T00:00:00"/>
    <x v="8"/>
    <s v="GE0357"/>
    <s v="FR-500-GE-0252-2022"/>
    <s v="N/A"/>
    <s v="Suministro de probador de relación de transformación T.T.R. portatil, para redes de media y baja tensión del SDL de EMCALI"/>
    <n v="62237000"/>
    <m/>
    <s v="900-IP-526-2022"/>
    <s v="IP-"/>
    <n v="202205607"/>
    <m/>
    <s v="N/A"/>
    <s v="N/A"/>
    <s v="N/A"/>
    <x v="2"/>
    <s v="CARLOS RODRIGUEZ"/>
    <d v="2022-08-22T00:00:00"/>
    <e v="#VALUE!"/>
    <e v="#VALUE!"/>
    <m/>
    <s v="Cerrado"/>
    <x v="0"/>
    <d v="2022-11-30T00:00:00"/>
    <s v="28 DE SEPTIEMBRE EN SOLCIITUD DE POLIZAS_x000a_15-11-2022, SE DEBEN AJUSTAR VALORES POR PARTE DEL AREA _x000a_30-11-2022, PROCESO CERRADO MEDIANTE ACTA DE FECHA 23 NOV 2022"/>
    <d v="2022-11-30T00:00:00"/>
    <x v="5"/>
    <s v="nov"/>
    <n v="103"/>
    <n v="100"/>
    <x v="2"/>
    <s v="INVERSION"/>
    <x v="0"/>
    <m/>
    <m/>
    <m/>
    <m/>
    <m/>
    <m/>
    <m/>
    <m/>
    <m/>
    <m/>
    <m/>
    <m/>
    <m/>
    <m/>
    <x v="0"/>
    <m/>
    <m/>
  </r>
  <r>
    <n v="483"/>
    <s v="0527"/>
    <x v="1"/>
    <d v="2022-08-19T00:00:00"/>
    <x v="8"/>
    <s v="GE0208"/>
    <s v="FR-500-GE-0160-2022"/>
    <s v="N/A"/>
    <s v="Suministro de Oxigeno y Acetileno"/>
    <n v="3293920"/>
    <m/>
    <s v="900-IP-527-2022"/>
    <s v="IP-"/>
    <n v="202202582"/>
    <n v="23526300"/>
    <s v="N/A"/>
    <s v="N/A"/>
    <s v="N/A"/>
    <x v="2"/>
    <s v="CARLOS RODRIGUEZ"/>
    <d v="2022-08-22T00:00:00"/>
    <e v="#VALUE!"/>
    <e v="#VALUE!"/>
    <s v="SI"/>
    <s v="Solicitud de Polizas y Rp"/>
    <x v="1"/>
    <m/>
    <s v="28 DE SEPTIEMBRE EN SOLCIITUD DE POLIZAS"/>
    <d v="2022-11-08T00:00:00"/>
    <x v="13"/>
    <s v="nov"/>
    <n v="81"/>
    <n v="78"/>
    <x v="2"/>
    <s v="FUNCIONAMIENTO"/>
    <x v="319"/>
    <d v="2022-09-15T00:00:00"/>
    <n v="2814350"/>
    <s v="SUMINISTRO E INSUMOS INDUSTRIALES LTDA"/>
    <n v="202208497"/>
    <n v="479570"/>
    <m/>
    <m/>
    <m/>
    <m/>
    <m/>
    <m/>
    <m/>
    <m/>
    <n v="0.14559248554913296"/>
    <x v="0"/>
    <n v="1"/>
    <n v="30"/>
  </r>
  <r>
    <n v="484"/>
    <s v="0528"/>
    <x v="2"/>
    <d v="2022-08-19T00:00:00"/>
    <x v="8"/>
    <s v="GAA0177"/>
    <s v="FR-300-GAA-0224-2022"/>
    <s v="N/A"/>
    <s v="Obras prioritarias, protección y seguridad - linea aducción descarga Río Cali"/>
    <n v="499663409"/>
    <s v="70 DIAS"/>
    <s v="900-IP-0528-2022"/>
    <m/>
    <n v="202202781"/>
    <m/>
    <s v="N/A"/>
    <s v="N/A"/>
    <s v="N/A"/>
    <x v="2"/>
    <s v="HAROLD MONDRAGON"/>
    <d v="2022-08-23T00:00:00"/>
    <e v="#VALUE!"/>
    <e v="#VALUE!"/>
    <s v="SI"/>
    <s v="Entregado al area"/>
    <x v="1"/>
    <m/>
    <m/>
    <d v="2022-09-12T00:00:00"/>
    <x v="11"/>
    <m/>
    <n v="24"/>
    <n v="20"/>
    <x v="2"/>
    <s v="INVERSION"/>
    <x v="320"/>
    <d v="2022-09-05T00:00:00"/>
    <n v="492417782"/>
    <s v="DDM INGENIERIA SAS"/>
    <n v="202208321"/>
    <n v="7245627"/>
    <m/>
    <m/>
    <m/>
    <m/>
    <m/>
    <s v="PALMIRA"/>
    <s v="MUNICIPAL"/>
    <m/>
    <n v="1.4501015822833647E-2"/>
    <x v="0"/>
    <n v="1"/>
    <n v="16"/>
  </r>
  <r>
    <n v="485"/>
    <s v="0529"/>
    <x v="6"/>
    <d v="2022-08-22T00:00:00"/>
    <x v="8"/>
    <s v="GTI0196"/>
    <s v="FR-200-GTI-0114-2022"/>
    <s v="N/A"/>
    <s v="Prestar servicios profesionales especializados de análisis, diseño, desarrollo, pruebas, puesta en producción y documentación para la solución a la medida de nuevos requerimientos, mejoras y actualizaciones a aplicativos web de EMCALI soportados en las plataformas usadas por la entidad"/>
    <n v="177488500"/>
    <m/>
    <m/>
    <s v=""/>
    <n v="202205631"/>
    <m/>
    <m/>
    <m/>
    <s v="N/A"/>
    <x v="3"/>
    <s v="CAMILO NUÑEZ"/>
    <m/>
    <e v="#VALUE!"/>
    <e v="#VALUE!"/>
    <s v="NO"/>
    <s v="Devuelto"/>
    <x v="2"/>
    <m/>
    <m/>
    <d v="2022-09-08T00:00:00"/>
    <x v="5"/>
    <s v="sep"/>
    <n v="17"/>
    <n v="44812"/>
    <x v="3"/>
    <s v="FUNCIONAMIENTO"/>
    <x v="0"/>
    <m/>
    <m/>
    <m/>
    <m/>
    <m/>
    <m/>
    <m/>
    <m/>
    <m/>
    <m/>
    <m/>
    <m/>
    <m/>
    <m/>
    <x v="1"/>
    <m/>
    <m/>
  </r>
  <r>
    <n v="486"/>
    <s v="0530"/>
    <x v="5"/>
    <d v="2022-08-23T00:00:00"/>
    <x v="8"/>
    <s v="GHA0013"/>
    <s v="FR-800-GHA-0194-2022"/>
    <s v="N/A"/>
    <s v="Elaborar y entregar recordatorios y botones fundidos y grabados con el logo de EMCALI EICE ESP"/>
    <n v="13301761"/>
    <s v="28 DE DICIEMBRE 2022"/>
    <s v="900-IP-0530-2022"/>
    <m/>
    <n v="202201822"/>
    <m/>
    <s v="N/A"/>
    <s v="N/A"/>
    <s v="N/A"/>
    <x v="2"/>
    <s v="AMPARO RENGIFO"/>
    <d v="2022-08-29T00:00:00"/>
    <e v="#VALUE!"/>
    <e v="#VALUE!"/>
    <s v="SI"/>
    <s v="Entregado al area"/>
    <x v="1"/>
    <m/>
    <m/>
    <d v="2022-09-27T00:00:00"/>
    <x v="11"/>
    <m/>
    <n v="35"/>
    <n v="29"/>
    <x v="2"/>
    <s v="FUNCIONAMIENTO"/>
    <x v="321"/>
    <d v="2022-09-15T00:00:00"/>
    <n v="13301671"/>
    <s v="GRABOMETAL PREMIACIONES SAS"/>
    <n v="202208505"/>
    <n v="90"/>
    <m/>
    <m/>
    <m/>
    <m/>
    <m/>
    <s v="CALI"/>
    <s v="LOCAL"/>
    <m/>
    <n v="6.7660214312977054E-6"/>
    <x v="1"/>
    <n v="1"/>
    <n v="25"/>
  </r>
  <r>
    <n v="487"/>
    <s v="0531"/>
    <x v="5"/>
    <d v="2022-08-24T00:00:00"/>
    <x v="8"/>
    <s v="GHA0272"/>
    <s v="FR-800-GHA-0191-2022"/>
    <s v="N/A"/>
    <s v="Realizar el avalúo comercial de los lotes de terreno y obra civil de los siguientes inmuebles propiedad de EMCALI EICE ESP ENER 20 - ENER 22 - ENER 24 - ACUE 78"/>
    <n v="31535000"/>
    <s v="28 DE NOVIEMBRE 2022"/>
    <s v="900-IP-0531-2022"/>
    <m/>
    <n v="202205304"/>
    <n v="48136532"/>
    <s v="N/A"/>
    <s v="N/A"/>
    <s v="N/A"/>
    <x v="2"/>
    <s v="IVAN ALDANA"/>
    <d v="2022-08-24T00:00:00"/>
    <e v="#VALUE!"/>
    <e v="#VALUE!"/>
    <s v="SI"/>
    <s v="Entregado al area"/>
    <x v="1"/>
    <m/>
    <m/>
    <d v="2022-09-21T00:00:00"/>
    <x v="11"/>
    <m/>
    <n v="28"/>
    <n v="28"/>
    <x v="2"/>
    <s v="FUNCIONAMIENTO"/>
    <x v="322"/>
    <d v="2022-09-14T00:00:00"/>
    <n v="27000000"/>
    <s v="ALEJANDRO REYES JIMENEZ"/>
    <n v="202208496"/>
    <n v="4535000"/>
    <m/>
    <m/>
    <m/>
    <m/>
    <m/>
    <s v="CALI"/>
    <s v="LOCAL"/>
    <m/>
    <n v="0.1438084667829396"/>
    <x v="1"/>
    <n v="1"/>
    <n v="20"/>
  </r>
  <r>
    <n v="488"/>
    <s v="0532"/>
    <x v="5"/>
    <d v="2022-08-24T00:00:00"/>
    <x v="8"/>
    <s v="GHA0282"/>
    <s v="FR-800-GHA-0195-2022"/>
    <s v="N/A"/>
    <s v="Programar e integrar el sistema de control de acceso Andover Continuum para ascensor privado torre EMCALI"/>
    <n v="7140000"/>
    <m/>
    <s v="900-IP-0532-2022"/>
    <s v="IP-"/>
    <n v="202205371"/>
    <n v="7140000"/>
    <s v="N/A"/>
    <s v="N/A"/>
    <s v="N/A"/>
    <x v="2"/>
    <s v="JULIO ERAZO"/>
    <d v="2022-08-29T00:00:00"/>
    <e v="#VALUE!"/>
    <e v="#VALUE!"/>
    <s v="SI"/>
    <s v="Esperando info del area"/>
    <x v="1"/>
    <m/>
    <s v="28 DE SEPTIEMBRE EN POLIZAS"/>
    <d v="2022-10-06T00:00:00"/>
    <x v="13"/>
    <s v="oct"/>
    <n v="43"/>
    <n v="38"/>
    <x v="2"/>
    <s v="FUNCIONAMIENTO"/>
    <x v="323"/>
    <d v="2022-09-13T00:00:00"/>
    <n v="7140000"/>
    <s v="VISION TECNOLOGICA VITEC-SAS"/>
    <n v="202208413"/>
    <n v="0"/>
    <m/>
    <m/>
    <m/>
    <m/>
    <m/>
    <m/>
    <m/>
    <m/>
    <n v="0"/>
    <x v="1"/>
    <n v="1"/>
    <n v="27"/>
  </r>
  <r>
    <n v="489"/>
    <s v="0533"/>
    <x v="2"/>
    <d v="2022-08-24T00:00:00"/>
    <x v="8"/>
    <s v="GAA0299"/>
    <s v="FR-300-GAA-0226-2022"/>
    <s v="N/A"/>
    <s v="Realizar la refacción y restitución del espacio público en los sitios donde se llevaron a cabo las reparaciones de Daños de Acueducto en Acometidas o Red Matriz"/>
    <n v="3234000000"/>
    <m/>
    <s v="900-IPU-533-2022"/>
    <s v="IPU"/>
    <n v="202203637"/>
    <m/>
    <s v="108-202200013"/>
    <m/>
    <s v="N/A"/>
    <x v="0"/>
    <s v="HAROLD MONDRAGON"/>
    <d v="2022-08-29T00:00:00"/>
    <e v="#VALUE!"/>
    <e v="#VALUE!"/>
    <m/>
    <s v="Cerrado"/>
    <x v="0"/>
    <d v="2022-12-14T00:00:00"/>
    <s v="28 de septiembre en revision de la fpa e invitacion, YA QUEDARON REVISADAS_x000a_10-11-2022, en firma de gerente GAE para publicacion de CC_x000a_18-11-2022, para firma de gerente GAE para publicar "/>
    <d v="2022-12-14T00:00:00"/>
    <x v="5"/>
    <s v="dic"/>
    <n v="112"/>
    <n v="107"/>
    <x v="3"/>
    <s v="FUNCIONAMIENTO"/>
    <x v="0"/>
    <m/>
    <m/>
    <m/>
    <m/>
    <m/>
    <m/>
    <m/>
    <m/>
    <m/>
    <m/>
    <m/>
    <m/>
    <m/>
    <m/>
    <x v="0"/>
    <m/>
    <m/>
  </r>
  <r>
    <n v="490"/>
    <s v="0534"/>
    <x v="2"/>
    <d v="2022-08-25T00:00:00"/>
    <x v="8"/>
    <s v="GAA0791"/>
    <s v="FR-300-GAA-0228-2022"/>
    <s v="N/A"/>
    <s v="Participación en programas de Ensayos de Aptitud de los Laboratorios de Ensayos de la UENAA."/>
    <n v="20288310"/>
    <m/>
    <s v="900-IP-0534-2022"/>
    <s v="IP-"/>
    <s v="202205485_x000a_202205667"/>
    <m/>
    <s v="N/A"/>
    <s v="N/A"/>
    <s v="N/A"/>
    <x v="2"/>
    <s v="MARIA CAMILA OLIVEROS"/>
    <d v="2022-08-29T00:00:00"/>
    <e v="#VALUE!"/>
    <e v="#VALUE!"/>
    <s v="SI"/>
    <s v="Entregado al area"/>
    <x v="1"/>
    <d v="2022-12-16T00:00:00"/>
    <s v="28 DE SEPTIEMBRE EN ACEPTACION DE LA OFERTA"/>
    <d v="2022-09-23T00:00:00"/>
    <x v="14"/>
    <s v="sep"/>
    <n v="29"/>
    <n v="25"/>
    <x v="2"/>
    <s v="FUNCIONAMIENTO"/>
    <x v="324"/>
    <d v="2022-09-23T00:00:00"/>
    <n v="20288310"/>
    <s v="AS ANALITICAL S.A.S"/>
    <s v="AB-2300002592"/>
    <n v="0"/>
    <m/>
    <m/>
    <m/>
    <m/>
    <m/>
    <m/>
    <m/>
    <m/>
    <n v="0"/>
    <x v="0"/>
    <n v="1"/>
    <n v="21"/>
  </r>
  <r>
    <n v="491"/>
    <s v="0535"/>
    <x v="2"/>
    <d v="2022-08-25T00:00:00"/>
    <x v="8"/>
    <s v="GAA0794"/>
    <s v="FR-300-GAA-0230-2022"/>
    <s v="N/A"/>
    <s v="Reparación de daño de alcantarillado en margen derecha del canal Sur con calle 42"/>
    <n v="499904220"/>
    <s v="2 MESES"/>
    <s v="900-IP-0535-2022"/>
    <m/>
    <n v="202205696"/>
    <m/>
    <s v="N/A"/>
    <s v="N/A"/>
    <s v="N/A"/>
    <x v="2"/>
    <s v="HAROLD MONDRAGON"/>
    <d v="2022-09-05T00:00:00"/>
    <e v="#VALUE!"/>
    <e v="#VALUE!"/>
    <s v="SI"/>
    <s v="Entregado al area"/>
    <x v="1"/>
    <m/>
    <m/>
    <d v="2022-09-15T00:00:00"/>
    <x v="11"/>
    <m/>
    <n v="21"/>
    <n v="10"/>
    <x v="2"/>
    <s v="INVERSION"/>
    <x v="325"/>
    <d v="2022-09-09T00:00:00"/>
    <n v="498989963"/>
    <s v="ENRIQUE LOURIDO CAICEDO EN REORGANIZACION"/>
    <n v="202208374"/>
    <n v="914257"/>
    <m/>
    <m/>
    <m/>
    <m/>
    <m/>
    <s v="CALI"/>
    <s v="LOCAL"/>
    <m/>
    <n v="1.828864337252444E-3"/>
    <x v="0"/>
    <n v="1"/>
    <n v="15"/>
  </r>
  <r>
    <n v="492"/>
    <s v="0536"/>
    <x v="2"/>
    <d v="2022-08-29T00:00:00"/>
    <x v="8"/>
    <s v="GAA0103"/>
    <s v="FR-300-GAA-0229-2022"/>
    <s v="N/A"/>
    <s v="Mantenimiento preventivo y correctivo para fotocopiadora de planos para la Unidad de Ingenieria (Incluye suministros y repuestos)."/>
    <n v="5000000"/>
    <m/>
    <s v="900-IP-0536-2022"/>
    <s v="IP-"/>
    <n v="202205598"/>
    <n v="5000000"/>
    <s v="N/A"/>
    <s v="N/A"/>
    <s v="N/A"/>
    <x v="2"/>
    <s v="JULIO ERAZO"/>
    <d v="2022-08-29T00:00:00"/>
    <e v="#VALUE!"/>
    <e v="#VALUE!"/>
    <s v="NO"/>
    <s v="Devuelto"/>
    <x v="2"/>
    <d v="2022-11-10T00:00:00"/>
    <s v="28 DE SEPTIEMBRE EN ELABORACION Y FPA_x000a_10-11-2022, se devuelve al area con memorando 901-0302-2022 de noviembre 3"/>
    <d v="2022-11-03T00:00:00"/>
    <x v="5"/>
    <s v="nov"/>
    <n v="66"/>
    <n v="66"/>
    <x v="3"/>
    <s v="FUNCIONAMIENTO"/>
    <x v="0"/>
    <m/>
    <m/>
    <m/>
    <m/>
    <m/>
    <m/>
    <m/>
    <m/>
    <m/>
    <m/>
    <m/>
    <m/>
    <m/>
    <m/>
    <x v="0"/>
    <m/>
    <m/>
  </r>
  <r>
    <n v="493"/>
    <s v="0537"/>
    <x v="1"/>
    <d v="2022-08-30T00:00:00"/>
    <x v="8"/>
    <s v="GE0346"/>
    <s v="FR-500-GE-0259-2022"/>
    <s v="N/A"/>
    <s v="Suministro, montaje y puesta en funcionamiento de un Sistema Solar Fotovoltaico de generación con potencia instalada en DC de 600 kWp, en el cliente RED SALUD ORIENTE"/>
    <n v="3349741858"/>
    <m/>
    <s v="900-IPU-0537-2022"/>
    <s v="IPU"/>
    <n v="202205612"/>
    <n v="3349741858"/>
    <s v="N/A"/>
    <s v="N/A"/>
    <s v="N/A"/>
    <x v="0"/>
    <s v="LAURA ANGEL"/>
    <d v="2022-08-30T00:00:00"/>
    <e v="#VALUE!"/>
    <e v="#VALUE!"/>
    <s v="N/A"/>
    <s v="Devuelto"/>
    <x v="2"/>
    <d v="2022-11-10T00:00:00"/>
    <m/>
    <d v="2022-11-10T00:00:00"/>
    <x v="5"/>
    <s v="nov"/>
    <n v="72"/>
    <n v="72"/>
    <x v="3"/>
    <s v="INVERSION"/>
    <x v="0"/>
    <m/>
    <m/>
    <m/>
    <m/>
    <m/>
    <m/>
    <m/>
    <m/>
    <m/>
    <m/>
    <m/>
    <m/>
    <m/>
    <m/>
    <x v="0"/>
    <m/>
    <m/>
  </r>
  <r>
    <n v="494"/>
    <s v="0538"/>
    <x v="10"/>
    <d v="2022-08-31T00:00:00"/>
    <x v="8"/>
    <s v="GC0526"/>
    <s v="FR-600-GC-0559-2022"/>
    <s v="N/A"/>
    <s v="Prestación de servicios de un proveedor tecnológico autorizado por la Dirección de Impuestos y Aduanas Nacionales (DIAN) para la generación, transmisión, entrega y/o expedición, recepción, conservación de las facturas electrónicas de venta, demás documentos e instrumentos electrónicos y estados que se deriven del Sistema de Facturación electrónica, su interacción e interoperabilidad, de acuardo con la condiciones, términos mecanismos técnicos y tecnológicos establecidos por la DIAN, así como las implementaciones originadas en cambios en el Sistema de Facturación Electrónica en cumplimiento de las normas que lo modifiquen, adicionen o sutituyan"/>
    <n v="1402851900"/>
    <m/>
    <s v="900-IP-0538-2022"/>
    <s v="IP-"/>
    <n v="202203494"/>
    <n v="1402851900"/>
    <s v="N/A"/>
    <s v="N/A"/>
    <s v="N/A"/>
    <x v="2"/>
    <s v="ESTEFANIA SANCHEZ"/>
    <d v="2022-08-31T00:00:00"/>
    <e v="#VALUE!"/>
    <e v="#VALUE!"/>
    <s v="SI"/>
    <s v="Entregado al area"/>
    <x v="1"/>
    <d v="2022-11-24T00:00:00"/>
    <m/>
    <d v="2022-09-15T00:00:00"/>
    <x v="13"/>
    <s v="sep"/>
    <n v="15"/>
    <n v="15"/>
    <x v="6"/>
    <s v="FUNCIONAMIENTO"/>
    <x v="326"/>
    <d v="2022-09-15T00:00:00"/>
    <n v="1402851900"/>
    <s v="CARVAJAL TECNOLOGIA  Y SERVICIO SAS"/>
    <n v="202208414"/>
    <n v="0"/>
    <m/>
    <m/>
    <m/>
    <m/>
    <m/>
    <m/>
    <m/>
    <m/>
    <n v="0"/>
    <x v="1"/>
    <n v="1"/>
    <n v="11"/>
  </r>
  <r>
    <n v="495"/>
    <s v="0539"/>
    <x v="3"/>
    <d v="2022-08-31T00:00:00"/>
    <x v="8"/>
    <s v="GT0146"/>
    <s v="FR-400-GT-0199-2022"/>
    <s v="N/A"/>
    <s v="Adquisición de baterías (fuentes de poder) y modulos de alimentación electrica para la Matriz L que hace parte de la plataforma de IPTV (repuestos)"/>
    <n v="84338656"/>
    <m/>
    <s v="900-IP-0539-2022"/>
    <s v="IP-"/>
    <n v="202202998"/>
    <n v="84338656"/>
    <s v="N/A"/>
    <s v="N/A"/>
    <s v="N/A"/>
    <x v="2"/>
    <s v="JULIO ERAZO"/>
    <d v="2022-09-02T00:00:00"/>
    <e v="#VALUE!"/>
    <e v="#VALUE!"/>
    <s v="NO"/>
    <s v="Devuelto"/>
    <x v="2"/>
    <m/>
    <m/>
    <d v="2022-09-15T00:00:00"/>
    <x v="5"/>
    <s v="sep"/>
    <n v="15"/>
    <n v="13"/>
    <x v="3"/>
    <s v="OPERACIÓN"/>
    <x v="0"/>
    <m/>
    <m/>
    <m/>
    <m/>
    <m/>
    <m/>
    <m/>
    <m/>
    <m/>
    <m/>
    <m/>
    <m/>
    <m/>
    <m/>
    <x v="1"/>
    <m/>
    <m/>
  </r>
  <r>
    <n v="496"/>
    <s v="0540"/>
    <x v="3"/>
    <d v="2022-08-31T00:00:00"/>
    <x v="8"/>
    <s v="GT0173"/>
    <s v="FR-400-GT-0205-2022"/>
    <s v="N/A"/>
    <s v="Soporte y Mantenimiento de alimentación DC (Potencia) de las UPS´s de San Fernando y Limonar de la UENTIC de EMCALI EICE ESP"/>
    <n v="99999903"/>
    <m/>
    <s v="900-IP-0540-2022"/>
    <s v="IP-"/>
    <n v="202205712"/>
    <n v="99999903"/>
    <s v="N/A"/>
    <s v="N/A"/>
    <s v="N/A"/>
    <x v="2"/>
    <s v="JULIO ERAZO"/>
    <d v="2022-09-02T00:00:00"/>
    <e v="#VALUE!"/>
    <e v="#VALUE!"/>
    <s v="NO"/>
    <s v="Cotizaciones"/>
    <x v="2"/>
    <m/>
    <m/>
    <d v="2022-09-10T00:00:00"/>
    <x v="5"/>
    <s v="sep"/>
    <n v="10"/>
    <n v="8"/>
    <x v="3"/>
    <s v="FUNCIONAMIENTO"/>
    <x v="0"/>
    <m/>
    <m/>
    <m/>
    <m/>
    <m/>
    <m/>
    <m/>
    <m/>
    <m/>
    <m/>
    <m/>
    <m/>
    <m/>
    <m/>
    <x v="1"/>
    <m/>
    <m/>
  </r>
  <r>
    <n v="497"/>
    <s v="0541"/>
    <x v="2"/>
    <d v="2022-08-31T00:00:00"/>
    <x v="8"/>
    <s v="GAA0104"/>
    <s v="FR-300-GAA-0231-2022"/>
    <s v="N/A"/>
    <s v="Mantenimiento correctivo y preventivo para Plotter de la Unidad de Ingenieria (Incluye Suministros y Repuestos)"/>
    <n v="10000000"/>
    <s v="45 DIAS"/>
    <s v="900-IP-0541-2022"/>
    <m/>
    <n v="202204376"/>
    <n v="10000000"/>
    <s v="N/A"/>
    <s v="N/A"/>
    <s v="N/A"/>
    <x v="2"/>
    <s v="NINFA SANTANA"/>
    <d v="2022-09-02T00:00:00"/>
    <e v="#VALUE!"/>
    <e v="#VALUE!"/>
    <s v="SI"/>
    <s v="Entregado al area"/>
    <x v="1"/>
    <m/>
    <m/>
    <d v="2022-09-22T00:00:00"/>
    <x v="11"/>
    <m/>
    <n v="22"/>
    <n v="20"/>
    <x v="2"/>
    <s v="FUNCIONAMIENTO"/>
    <x v="327"/>
    <d v="2022-09-15T00:00:00"/>
    <n v="10000000"/>
    <s v="JAIME ANTONIO BASTIDAS OSORIO"/>
    <n v="202208494"/>
    <n v="0"/>
    <m/>
    <m/>
    <m/>
    <m/>
    <m/>
    <s v="CALI"/>
    <s v="LOCAL"/>
    <m/>
    <n v="0"/>
    <x v="0"/>
    <n v="1"/>
    <n v="16"/>
  </r>
  <r>
    <n v="498"/>
    <s v="0542"/>
    <x v="2"/>
    <d v="2022-08-31T00:00:00"/>
    <x v="8"/>
    <s v="GAA0788"/>
    <s v="FR-300-GAA-0232-2022"/>
    <s v="N/A"/>
    <s v="Suministrar un dosificador Manual Titrator Plus marca Metrohm para el Laboratorio de Aguas Residuales"/>
    <n v="29563947"/>
    <m/>
    <s v="900-IP-0542-2022"/>
    <s v="IP-"/>
    <n v="202205377"/>
    <m/>
    <m/>
    <m/>
    <s v="N/A"/>
    <x v="2"/>
    <s v="MARIA CAMILA OLIVEROS"/>
    <d v="2022-09-02T00:00:00"/>
    <e v="#VALUE!"/>
    <e v="#VALUE!"/>
    <m/>
    <s v="Cerrado"/>
    <x v="0"/>
    <d v="2022-12-30T00:00:00"/>
    <s v="28 DE SEPTIEMBRE EN REVISION DE FPA E INVITACION_x000a_12-11-2022 en espera de firma de FPA E INVITACION"/>
    <d v="2022-12-29T00:00:00"/>
    <x v="5"/>
    <s v="dic"/>
    <n v="120"/>
    <n v="118"/>
    <x v="3"/>
    <s v="INVERSION"/>
    <x v="0"/>
    <m/>
    <m/>
    <m/>
    <m/>
    <m/>
    <m/>
    <m/>
    <m/>
    <m/>
    <m/>
    <m/>
    <m/>
    <m/>
    <m/>
    <x v="0"/>
    <m/>
    <m/>
  </r>
  <r>
    <n v="499"/>
    <s v="0543"/>
    <x v="2"/>
    <d v="2022-08-31T00:00:00"/>
    <x v="8"/>
    <s v="GAA0790"/>
    <s v="FR-300-GAA-0233-2022"/>
    <s v="N/A"/>
    <s v="Suministrar gases y realizar mantenimiento a las lineas de gases de los Laboratorios de Ensayos de la UENAA"/>
    <n v="79805785"/>
    <m/>
    <s v="900-IP-0543-2022"/>
    <s v="IP-"/>
    <s v="202205540_x000a_202205541_x000a_202205542_x000a_202205666"/>
    <m/>
    <m/>
    <m/>
    <s v="N/A"/>
    <x v="2"/>
    <s v="MARIA CAMILA OLIVEROS"/>
    <d v="2022-09-02T00:00:00"/>
    <e v="#VALUE!"/>
    <e v="#VALUE!"/>
    <m/>
    <s v="Cerrado"/>
    <x v="0"/>
    <d v="2022-12-30T00:00:00"/>
    <s v="28 DE SEPTIEMBRE ESPERANDO REGISTRO DE PROVEEDORES _x000a_12-11-2022 En la cotización se envía para ajuste, se sale del presupuesto"/>
    <d v="2022-12-29T00:00:00"/>
    <x v="5"/>
    <s v="dic"/>
    <n v="120"/>
    <n v="118"/>
    <x v="3"/>
    <s v="FUNCIONAMIENTO"/>
    <x v="0"/>
    <m/>
    <m/>
    <m/>
    <m/>
    <m/>
    <m/>
    <m/>
    <m/>
    <m/>
    <m/>
    <m/>
    <m/>
    <m/>
    <m/>
    <x v="0"/>
    <m/>
    <m/>
  </r>
  <r>
    <n v="500"/>
    <s v="0544"/>
    <x v="5"/>
    <d v="2022-08-31T00:00:00"/>
    <x v="8"/>
    <s v="GHA0224_x000a_GHA0225_x000a_GHA0277_x000a_GHA0278"/>
    <s v="FR-800-GHA-0142-2022_x000a_FR-800-GHA-0139-2022"/>
    <s v="N/A"/>
    <s v="Realizar la compra de un (1) vehículo SUV 4X4 de 5 puertas; incluyendo el servicio de Diez (10) mantenimientos preventivos para el vehículo, con las adecuaciones requeridas por EMCALI EICE ESP_x000a__x000a_Realizar la compra de dos (2) retroexcavadoras, dos (2) camiones doble cabina de 3 Ton, tres (3) vehículos SUV 5 puertas, un (1) carrotanque y dos (2) volquetas entre 7 y 8 Mtr cúbicos; incluyendo el servicio de diez (10) mantenimientos preventivos para cada vehículo/equipo, con las adecuaciones requeridas por EMCALI EICE ESP."/>
    <n v="453320213"/>
    <s v="28 DE NOVIEMBRE 2022"/>
    <s v="900-IP-0544-2022"/>
    <m/>
    <s v="202202682_x000a_202202679_x000a_202202571_x000a_202202573_x000a_202202574_x000a_202202575"/>
    <n v="679730053"/>
    <s v="N/A"/>
    <s v="N/A"/>
    <s v="N/A"/>
    <x v="2"/>
    <s v="LAURA PIMIENTA"/>
    <d v="2022-08-31T00:00:00"/>
    <n v="69"/>
    <n v="69"/>
    <s v="SI"/>
    <s v="Entregado al area"/>
    <x v="1"/>
    <s v="28 DE SEPTIMEBRE EN ESPERA DE LAS POLIZAS POR PARTE DEL PROVEEDOR"/>
    <m/>
    <d v="2022-10-19T00:00:00"/>
    <x v="12"/>
    <n v="49"/>
    <m/>
    <n v="49"/>
    <x v="6"/>
    <s v="FUNCIONAMIENTO"/>
    <x v="328"/>
    <d v="2022-09-15T00:00:00"/>
    <n v="453320213"/>
    <s v="AUTOMOTORES FARALLONES SAS"/>
    <n v="202208542"/>
    <n v="0"/>
    <s v="CALI"/>
    <s v="LOCAL"/>
    <m/>
    <m/>
    <m/>
    <m/>
    <m/>
    <m/>
    <n v="0"/>
    <x v="1"/>
    <n v="1"/>
    <n v="35"/>
  </r>
  <r>
    <n v="501"/>
    <s v="0545"/>
    <x v="3"/>
    <d v="2022-09-01T00:00:00"/>
    <x v="9"/>
    <s v="GT0249"/>
    <s v="FR-400-GT-0178-2022"/>
    <s v="N/A"/>
    <s v="Soporte técnico requerido para la operación, administración y manejo de la plataforma, incluyendo transferencia de conocimiento hacia el personal encargado de Zabbix en EMCALI EICE ESP"/>
    <n v="129108545"/>
    <m/>
    <s v="900-IP-0545-2022"/>
    <s v="IP-"/>
    <n v="202205066"/>
    <m/>
    <s v="N/A"/>
    <s v="N/A"/>
    <s v="N/A"/>
    <x v="2"/>
    <s v="JULIETA ORTIZ"/>
    <d v="2022-09-01T00:00:00"/>
    <e v="#VALUE!"/>
    <e v="#VALUE!"/>
    <m/>
    <s v="Entregado al area"/>
    <x v="1"/>
    <d v="2022-11-29T00:00:00"/>
    <s v="28 de septiembre en evaluacion de la oferta_x000a_12-11-2022, El IP-0463 se Cerro y el 900-IP-0545-2022 esta en Evaluacion de la Propuesta recibida. Se elbaoro AO. "/>
    <d v="2022-12-02T00:00:00"/>
    <x v="14"/>
    <s v="dic"/>
    <n v="92"/>
    <n v="92"/>
    <x v="2"/>
    <s v="FUNCIONAMIENTO"/>
    <x v="329"/>
    <d v="2022-11-25T00:00:00"/>
    <n v="129108544"/>
    <s v="IMAGUNET SAS"/>
    <s v="AB2300002935"/>
    <n v="1"/>
    <m/>
    <m/>
    <m/>
    <m/>
    <m/>
    <m/>
    <m/>
    <m/>
    <n v="7.7454207233146341E-9"/>
    <x v="1"/>
    <n v="1"/>
    <n v="39"/>
  </r>
  <r>
    <n v="502"/>
    <s v="0546"/>
    <x v="0"/>
    <d v="2022-09-01T00:00:00"/>
    <x v="9"/>
    <s v="GT0209"/>
    <s v="FR-400-GT-0172-2022"/>
    <s v="N/A"/>
    <s v="Mano de obra y materiales para el mantenimiento correctivo y preventivo de Tapas Circulares en Concreto con Sistema de Seguridad Mecánico, con el fin de proteger la red de acceso de EMCALI EICE ESP, según las especificaciones técnicas."/>
    <n v="33566000"/>
    <s v="31 DE DICIEBRE 2022"/>
    <s v="900-IP-0546-2022"/>
    <m/>
    <n v="202204412"/>
    <n v="33566000"/>
    <s v="N/A"/>
    <s v="N/A"/>
    <s v="N/A"/>
    <x v="2"/>
    <s v="JHON LARRY "/>
    <d v="2022-09-05T00:00:00"/>
    <e v="#VALUE!"/>
    <e v="#VALUE!"/>
    <s v="SI"/>
    <s v="Entregado al area"/>
    <x v="1"/>
    <m/>
    <m/>
    <d v="2022-09-29T00:00:00"/>
    <x v="11"/>
    <m/>
    <n v="28"/>
    <n v="24"/>
    <x v="2"/>
    <s v="FUNCIONAMIENTO"/>
    <x v="330"/>
    <d v="2022-09-15T00:00:00"/>
    <n v="33565711"/>
    <s v="CARLOS HERNEY ARCINIEGAS"/>
    <n v="202208533"/>
    <n v="289"/>
    <m/>
    <m/>
    <m/>
    <m/>
    <m/>
    <s v="CALI"/>
    <s v="LOCAL"/>
    <m/>
    <n v="8.6099028779121728E-6"/>
    <x v="0"/>
    <n v="1"/>
    <n v="20"/>
  </r>
  <r>
    <n v="503"/>
    <s v="0547"/>
    <x v="2"/>
    <d v="2022-09-01T00:00:00"/>
    <x v="9"/>
    <s v="PRECALIF"/>
    <s v="FR-300-GAA-0227-2022"/>
    <s v="N/A"/>
    <s v="Realizar la contratación de la consultoría sobre la formulación del Plan Maestro de Acueducto y Alcantarillado del Área de Prestación de Servicios de EMCALI EICE ESP"/>
    <n v="36219452607"/>
    <m/>
    <s v="900-IPU-547-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x v="3"/>
    <s v="INVERSION"/>
    <x v="0"/>
    <m/>
    <m/>
    <m/>
    <m/>
    <m/>
    <m/>
    <m/>
    <m/>
    <m/>
    <m/>
    <m/>
    <m/>
    <m/>
    <m/>
    <x v="0"/>
    <m/>
    <m/>
  </r>
  <r>
    <n v="504"/>
    <s v="0548"/>
    <x v="2"/>
    <d v="2022-09-01T00:00:00"/>
    <x v="9"/>
    <s v="PRECALIF"/>
    <s v="FR-300-GAA-0240-2022"/>
    <s v="N/A"/>
    <s v="Realizar la contratación de la Interventoría a la Consultoría sobre la formulación del Plan Maestro de Acueducto y Alcantarillado del Área de Prestación de Servicios de EMCALI EICE ESP"/>
    <n v="5079331605"/>
    <m/>
    <s v="900-IPU-548-2022"/>
    <s v="IPU"/>
    <s v="N/A"/>
    <m/>
    <m/>
    <m/>
    <s v="N/A"/>
    <x v="0"/>
    <s v="HAROLD MONDRAGON"/>
    <d v="2022-09-05T00:00:00"/>
    <e v="#VALUE!"/>
    <e v="#VALUE!"/>
    <m/>
    <s v="ELABORACION OFICIO DEVOLUCION "/>
    <x v="2"/>
    <d v="2022-11-30T00:00:00"/>
    <s v="28 DE SEPTIEMBRE EN ELABORACION DE FPA Y CC_x000a_24-11-2022, POR INSTRUCCIÓN ASESORES GERENCIA GENERAL PROCESOS QUE NO SE VAN A TRAMITAR HASTA QUE AREA ENTREGUE VF, PROCESOS PARA DEVOLUCION AL AEREA"/>
    <d v="2022-11-30T00:00:00"/>
    <x v="5"/>
    <s v="nov"/>
    <n v="90"/>
    <n v="86"/>
    <x v="3"/>
    <s v="INVERSION"/>
    <x v="0"/>
    <m/>
    <m/>
    <m/>
    <m/>
    <m/>
    <m/>
    <m/>
    <m/>
    <m/>
    <m/>
    <m/>
    <m/>
    <m/>
    <m/>
    <x v="0"/>
    <m/>
    <m/>
  </r>
  <r>
    <n v="505"/>
    <s v="0549"/>
    <x v="2"/>
    <d v="2022-09-01T00:00:00"/>
    <x v="9"/>
    <s v="GAA0061"/>
    <s v="FR-300-GAA-0235-2022"/>
    <s v="N/A"/>
    <s v="Suministro de materiales para realizar calibraciones en el laboratorio de medidores acueducto"/>
    <n v="20584933"/>
    <m/>
    <s v="900-IP-0549-2022"/>
    <s v="IP-"/>
    <n v="202202266"/>
    <m/>
    <s v="N/A"/>
    <s v="N/A"/>
    <s v="N/A"/>
    <x v="2"/>
    <s v="NINFA SANTANA"/>
    <d v="2022-09-05T00:00:00"/>
    <e v="#VALUE!"/>
    <e v="#VALUE!"/>
    <s v="NO"/>
    <s v="Devuelto"/>
    <x v="2"/>
    <m/>
    <m/>
    <d v="2022-09-15T00:00:00"/>
    <x v="5"/>
    <s v="sep"/>
    <n v="14"/>
    <n v="10"/>
    <x v="2"/>
    <s v="FUNCIONAMIENTO"/>
    <x v="0"/>
    <m/>
    <m/>
    <m/>
    <m/>
    <m/>
    <m/>
    <m/>
    <m/>
    <m/>
    <m/>
    <m/>
    <m/>
    <m/>
    <m/>
    <x v="0"/>
    <m/>
    <m/>
  </r>
  <r>
    <n v="506"/>
    <s v="0550"/>
    <x v="2"/>
    <d v="2022-09-01T00:00:00"/>
    <x v="9"/>
    <s v="GAA0792"/>
    <s v="FR-300-GAA-0236-2022"/>
    <s v="N/A"/>
    <s v="Suministro de materiales (elementos, repuestos y cristaleria) y equipos para realizar ensayos en los Laboratorios de Ensayos de la UENAA"/>
    <n v="442326099"/>
    <m/>
    <s v="900-IP-0550-2022"/>
    <s v="IP-"/>
    <s v="202202246_x000a_202202248_x000a_202205378"/>
    <n v="442326099"/>
    <s v="N/A"/>
    <s v="N/A"/>
    <s v="N/A"/>
    <x v="2"/>
    <s v="LINA ECHAVARRIA"/>
    <d v="2022-09-05T00:00:00"/>
    <e v="#VALUE!"/>
    <e v="#VALUE!"/>
    <m/>
    <s v="Cerrado"/>
    <x v="0"/>
    <d v="2022-12-09T00:00:00"/>
    <s v="28 DE SEPTIEMBRE EN FPA E INVITACION_x000a_30-11-2022, SE PASO PARA REVISION DE SARHA EN GAE"/>
    <d v="2022-12-26T00:00:00"/>
    <x v="5"/>
    <s v="dic"/>
    <n v="116"/>
    <n v="112"/>
    <x v="3"/>
    <s v="FUNCIONAMIENTO"/>
    <x v="0"/>
    <m/>
    <m/>
    <m/>
    <m/>
    <m/>
    <m/>
    <m/>
    <m/>
    <m/>
    <m/>
    <m/>
    <m/>
    <m/>
    <m/>
    <x v="0"/>
    <m/>
    <m/>
  </r>
  <r>
    <n v="507"/>
    <s v="0551"/>
    <x v="2"/>
    <d v="2022-09-01T00:00:00"/>
    <x v="9"/>
    <s v="GAA0787_x000a_GAA0693"/>
    <s v="FR-300-GAA-0237-2022"/>
    <s v="N/A"/>
    <s v="Suministro de equipos marca HACH para los Laboratorios de Ensayos de la UENAA"/>
    <n v="195000000"/>
    <m/>
    <s v="900-IP-551-2022"/>
    <s v="IP-"/>
    <s v="202205375_x000a_202205376_x000a_202202252"/>
    <m/>
    <m/>
    <m/>
    <s v="N/A"/>
    <x v="2"/>
    <s v="IVAN ALDANA"/>
    <d v="2022-09-05T00:00:00"/>
    <e v="#VALUE!"/>
    <e v="#VALUE!"/>
    <m/>
    <s v="Entregado al area"/>
    <x v="1"/>
    <d v="2022-12-19T00:00:00"/>
    <s v="28 DE SEPTIEMBRE EN ELABORACIONDE FPA E INVITACION_x000a_24-11-2022, LO TIENE LA ASESORA SAHARA DE GAE QUIEN HACE AJUSTES Y DEVUELVE AL ASESOR EL 15 Y SE LE VOLVIO A PASAR EL 18 DE NOVIEMBRE A LA ASESORA "/>
    <d v="2022-12-19T00:00:00"/>
    <x v="14"/>
    <s v="dic"/>
    <n v="109"/>
    <n v="105"/>
    <x v="2"/>
    <s v="INVERSION"/>
    <x v="331"/>
    <d v="2022-12-07T00:00:00"/>
    <n v="188980319"/>
    <s v="HACH COLOMBIA SAS"/>
    <s v="AB-2300002978"/>
    <n v="6019681"/>
    <m/>
    <m/>
    <m/>
    <m/>
    <m/>
    <m/>
    <m/>
    <m/>
    <n v="3.0870158974358974E-2"/>
    <x v="0"/>
    <n v="1"/>
    <n v="50"/>
  </r>
  <r>
    <n v="508"/>
    <s v="0552"/>
    <x v="2"/>
    <d v="2022-09-01T00:00:00"/>
    <x v="9"/>
    <s v="GAA0789_x000a_GAA0065_x000a_GAA0066"/>
    <s v="FR-300-GAA-0238-2022"/>
    <s v="N/A"/>
    <s v="Suministro de reactivos y equipos para realizar ensayos en los Laboratorios de la UENAA"/>
    <n v="173375027"/>
    <m/>
    <s v="900-IP-0552-2022"/>
    <s v="IP-"/>
    <s v="202205543_x000a_202205544_x000a_202202250_x000a_202202255"/>
    <m/>
    <s v="N/A"/>
    <s v="N/A"/>
    <s v="N/A"/>
    <x v="2"/>
    <s v="LUCY ARBELAEZ"/>
    <d v="2022-09-05T00:00:00"/>
    <e v="#VALUE!"/>
    <e v="#VALUE!"/>
    <m/>
    <s v="Entregado al area"/>
    <x v="1"/>
    <d v="2022-11-30T00:00:00"/>
    <s v="28 DE SEPTIEMBRE EN ELABORACIONDE FPA E INVITACION"/>
    <d v="2022-11-30T00:00:00"/>
    <x v="14"/>
    <s v="nov"/>
    <n v="90"/>
    <n v="86"/>
    <x v="2"/>
    <s v="FUNCIONAMIENTO"/>
    <x v="332"/>
    <d v="2022-11-30T00:00:00"/>
    <n v="168762268"/>
    <s v="CONTROL E INSTRUMENTACION INDUSTRIAL DE COLOMBIA SAS"/>
    <m/>
    <n v="4612759"/>
    <m/>
    <m/>
    <m/>
    <m/>
    <m/>
    <m/>
    <m/>
    <m/>
    <n v="2.6605671415410939E-2"/>
    <x v="0"/>
    <n v="1"/>
    <n v="37"/>
  </r>
  <r>
    <n v="509"/>
    <s v="0553"/>
    <x v="2"/>
    <d v="2022-09-01T00:00:00"/>
    <x v="9"/>
    <s v="GAA0062_x000a_GAA0063"/>
    <s v="FR-300-GAA-0239-2022"/>
    <s v="N/A"/>
    <s v="Suministro de reactivos, medios de cultivo y materiales de referencia para realizar ensayos en los Laboratorios de Ensayos de la UENAA"/>
    <n v="238618909"/>
    <m/>
    <s v="900-IP-0553-2022"/>
    <s v="IP-"/>
    <s v="202205450_x000a_202202975_x000a_202203884_x000a_202205449"/>
    <m/>
    <s v="N/A"/>
    <s v="N/A"/>
    <s v="N/A"/>
    <x v="2"/>
    <s v="LUCY ARBELAEZ"/>
    <d v="2022-09-05T00:00:00"/>
    <e v="#VALUE!"/>
    <e v="#VALUE!"/>
    <m/>
    <s v="Entregado al area"/>
    <x v="1"/>
    <d v="2022-11-30T00:00:00"/>
    <s v="28 DE SEPTIEMBRE EN ELABORACIONDE FPA E INVITACION"/>
    <d v="2022-12-15T00:00:00"/>
    <x v="14"/>
    <s v="dic"/>
    <n v="105"/>
    <n v="101"/>
    <x v="2"/>
    <s v="FUNCIONAMIENTO"/>
    <x v="333"/>
    <d v="2022-12-07T00:00:00"/>
    <n v="237158472"/>
    <s v="PROFINAS SAS"/>
    <m/>
    <n v="1460437"/>
    <m/>
    <m/>
    <m/>
    <m/>
    <m/>
    <m/>
    <m/>
    <m/>
    <n v="6.1203741401734428E-3"/>
    <x v="0"/>
    <n v="1"/>
    <n v="48"/>
  </r>
  <r>
    <n v="510"/>
    <s v="0554"/>
    <x v="2"/>
    <d v="2022-09-02T00:00:00"/>
    <x v="9"/>
    <s v="GAA0796"/>
    <s v="FR-300-GAA-0234-2022"/>
    <s v="N/A"/>
    <s v="Suministro de Alcalinizante para las Plantas de Tratamiento de Agua Potable de la Unidad de Producción de Agua Potable: Cal Viva"/>
    <n v="412536670"/>
    <s v="90 DIAS"/>
    <s v="900-IP-0554-2022"/>
    <m/>
    <s v="202202688_x000a_202203114"/>
    <n v="412536670"/>
    <s v="N/A"/>
    <s v="N/A"/>
    <s v="N/A"/>
    <x v="2"/>
    <s v="AYDEE OVALLE"/>
    <d v="2022-09-02T00:00:00"/>
    <e v="#VALUE!"/>
    <e v="#VALUE!"/>
    <s v="SI"/>
    <s v="Entregado al area"/>
    <x v="1"/>
    <m/>
    <m/>
    <d v="2022-09-14T00:00:00"/>
    <x v="11"/>
    <m/>
    <n v="12"/>
    <n v="12"/>
    <x v="2"/>
    <s v="OPERACIÓN"/>
    <x v="334"/>
    <d v="2022-09-09T00:00:00"/>
    <n v="412536670"/>
    <s v="CALABASTOS SAS"/>
    <n v="202208360"/>
    <n v="0"/>
    <m/>
    <m/>
    <m/>
    <m/>
    <m/>
    <s v="VIJES"/>
    <s v="MUNICIPAL"/>
    <m/>
    <n v="0"/>
    <x v="0"/>
    <n v="1"/>
    <n v="8"/>
  </r>
  <r>
    <n v="511"/>
    <s v="0555"/>
    <x v="1"/>
    <d v="2022-09-02T00:00:00"/>
    <x v="9"/>
    <s v="GE0364"/>
    <s v="FR-500-GE-0256-2022"/>
    <s v="N/A"/>
    <s v="Servicio de integración de los datos entre el sistema de control de la subestación Alferez y el Centro de Control de Energía"/>
    <n v="20000000"/>
    <m/>
    <s v="900-IP-0555-2022"/>
    <s v="IP-"/>
    <n v="202205452"/>
    <m/>
    <s v="N/A"/>
    <s v="N/A"/>
    <s v="N/A"/>
    <x v="2"/>
    <s v="LUCY ARBELAEZ"/>
    <d v="2022-09-05T00:00:00"/>
    <e v="#VALUE!"/>
    <e v="#VALUE!"/>
    <s v="NO"/>
    <s v="Devuelto"/>
    <x v="2"/>
    <d v="2022-11-15T00:00:00"/>
    <s v="SE DEVUELVE AL AREA DEBIDO EL UNICO PROVEEDOR QUE OFERTO NO CUENTA CON PERSONAL IDONEO HASTA ENERO 2023, MEMORANDO 900-0458-2022 DEL 15 DE NOVIEMBRE"/>
    <d v="2022-11-15T00:00:00"/>
    <x v="5"/>
    <s v="nov"/>
    <n v="74"/>
    <n v="71"/>
    <x v="3"/>
    <s v="FUNCIONAMIENTO"/>
    <x v="0"/>
    <m/>
    <m/>
    <m/>
    <m/>
    <m/>
    <m/>
    <m/>
    <m/>
    <m/>
    <m/>
    <m/>
    <m/>
    <m/>
    <m/>
    <x v="0"/>
    <m/>
    <m/>
  </r>
  <r>
    <n v="512"/>
    <s v="0556"/>
    <x v="10"/>
    <d v="2022-09-05T00:00:00"/>
    <x v="9"/>
    <s v="GC0515"/>
    <s v="FR-600-GC-0558-2022"/>
    <s v="N/A"/>
    <s v="Compra televisores, soporte para televisores y hornos mocroondas para los Centros de Atención y el Contact Center de EMCALI EICE ESP"/>
    <n v="43500000"/>
    <m/>
    <s v="900-IP-0556-2022"/>
    <s v="IP-"/>
    <n v="202201388"/>
    <m/>
    <s v="N/A"/>
    <s v="N/A"/>
    <s v="N/A"/>
    <x v="2"/>
    <s v="CAMILO NUÑEZ"/>
    <d v="2022-09-05T00:00:00"/>
    <e v="#VALUE!"/>
    <e v="#VALUE!"/>
    <s v="NO"/>
    <s v="Devuelto"/>
    <x v="2"/>
    <d v="2022-11-24T00:00:00"/>
    <s v="28 DE SEPTIEMBRE EN ELABORACIONDE FPA E INVITACION_x000a_24-11-2022, DEVUELTO AL AREA EL DIA 17/11/2022, DEBIDO A QUE SE DEBE COMPRAR POR GRANDES SUPERFICIES (LITERAL E ARTICULO 3 RESOLUCION J.D No 004 DE OCTUBRE 2020_x000a_"/>
    <d v="2022-11-17T00:00:00"/>
    <x v="5"/>
    <s v="nov"/>
    <n v="73"/>
    <n v="73"/>
    <x v="2"/>
    <s v="FUNCIONAMIENTO"/>
    <x v="0"/>
    <m/>
    <m/>
    <m/>
    <m/>
    <m/>
    <m/>
    <m/>
    <m/>
    <m/>
    <m/>
    <m/>
    <m/>
    <m/>
    <m/>
    <x v="1"/>
    <m/>
    <m/>
  </r>
  <r>
    <n v="513"/>
    <s v="0557"/>
    <x v="5"/>
    <d v="2022-09-05T00:00:00"/>
    <x v="9"/>
    <s v="GHA0066"/>
    <s v="FR-800-GHA-0185-2022"/>
    <s v="N/A"/>
    <s v="Realizar la compra de jabon liquido espumoso para el lavado de manos"/>
    <n v="200457042"/>
    <m/>
    <s v="900-IP-0557-2022"/>
    <s v="IP-"/>
    <n v="202201122"/>
    <m/>
    <s v="N/A"/>
    <s v="N/A"/>
    <s v="N/A"/>
    <x v="2"/>
    <s v="JHON LARRY CAICEDO"/>
    <d v="2022-09-06T00:00:00"/>
    <e v="#VALUE!"/>
    <e v="#VALUE!"/>
    <m/>
    <s v="Cerrado"/>
    <x v="0"/>
    <d v="2022-11-30T00:00:00"/>
    <s v="28 DE SEPTIEMBRE EM ELABORACION DE FPA E INVITACION"/>
    <d v="2022-11-28T00:00:00"/>
    <x v="5"/>
    <s v="nov"/>
    <n v="84"/>
    <n v="83"/>
    <x v="2"/>
    <s v="FUNCIONAMIENTO"/>
    <x v="0"/>
    <m/>
    <m/>
    <m/>
    <m/>
    <m/>
    <m/>
    <m/>
    <m/>
    <m/>
    <m/>
    <m/>
    <m/>
    <m/>
    <m/>
    <x v="1"/>
    <m/>
    <m/>
  </r>
  <r>
    <n v="514"/>
    <s v="0558"/>
    <x v="5"/>
    <d v="2022-09-05T00:00:00"/>
    <x v="9"/>
    <s v="GHA0263"/>
    <s v="FR-800-GHA-0176-2022"/>
    <s v="800-CMA-1914-2021"/>
    <s v="Realizar las actividades necesarias para llevar a cabo las adecuaciones locativas y mantenimiento preventivos y correctivos en la Gerencia de Unidad Estrategica de Negocio de Acuaducto y Alcantarillado - Reparación Cubiertas Planta Centro Operativo Navarro"/>
    <n v="859987508"/>
    <s v="31 DE DICIEMBRE 2022"/>
    <s v="N/A"/>
    <m/>
    <n v="202204461"/>
    <n v="859987508"/>
    <s v="N/A"/>
    <s v="N/A"/>
    <s v="N/A"/>
    <x v="1"/>
    <s v="FRANCIA RAMÍREZ"/>
    <d v="2022-09-05T00:00:00"/>
    <e v="#VALUE!"/>
    <e v="#VALUE!"/>
    <s v="SI"/>
    <s v="Entregado al area"/>
    <x v="1"/>
    <m/>
    <m/>
    <d v="2022-09-26T00:00:00"/>
    <x v="11"/>
    <m/>
    <n v="21"/>
    <n v="21"/>
    <x v="0"/>
    <s v="FUNCIONAMIENTO"/>
    <x v="335"/>
    <d v="2022-09-15T00:00:00"/>
    <n v="818754201"/>
    <s v="UNION TEMPORAL M&amp;C2021"/>
    <n v="202208536"/>
    <n v="41233307"/>
    <m/>
    <m/>
    <m/>
    <m/>
    <m/>
    <s v="CALI"/>
    <s v="LOCA"/>
    <m/>
    <n v="4.7946402263322176E-2"/>
    <x v="1"/>
    <n v="0"/>
    <n v="21"/>
  </r>
  <r>
    <n v="515"/>
    <s v="0559"/>
    <x v="3"/>
    <d v="2022-09-05T00:00:00"/>
    <x v="9"/>
    <s v="GT0173"/>
    <s v="FR-400-GT-0200-2022"/>
    <s v="N/A"/>
    <s v="EMCALI EICE está interesada en contratar la realización del análisis geotécnicos de estabilidad del suelo donde está ubicada la Torre de Peñas Negras ubicado en el Municipio de Yumbo (Valle), verificar las posibles causas que puedan suponer motivo de inestabilidad para la torre y de acuerdo con los resultados de los estudios realizados presentar las recomendaciones y alternativas necesarias a implementar para asegurar la estabilidad de la torre"/>
    <n v="8356062"/>
    <m/>
    <s v="900-IP-0559-2022"/>
    <s v="IP-"/>
    <s v="202205463_x000a_202205601"/>
    <m/>
    <m/>
    <m/>
    <s v="N/A"/>
    <x v="2"/>
    <s v="JULIO ERAZO"/>
    <d v="2022-09-06T00:00:00"/>
    <e v="#VALUE!"/>
    <e v="#VALUE!"/>
    <s v="NO"/>
    <s v="Devuelto"/>
    <x v="2"/>
    <d v="2022-11-10T00:00:00"/>
    <s v="EL 11 DE NOVIEMBRE SE DEVUELVE EL PROCESO AL AREA MEDIANTE MEMORANDO 901-0312-2022"/>
    <d v="2022-11-11T00:00:00"/>
    <x v="5"/>
    <s v="nov"/>
    <n v="67"/>
    <n v="66"/>
    <x v="3"/>
    <s v="FUNCIONAMIENTO"/>
    <x v="0"/>
    <m/>
    <m/>
    <m/>
    <m/>
    <m/>
    <m/>
    <m/>
    <m/>
    <m/>
    <m/>
    <m/>
    <m/>
    <m/>
    <m/>
    <x v="1"/>
    <m/>
    <m/>
  </r>
  <r>
    <n v="516"/>
    <s v="0560"/>
    <x v="3"/>
    <d v="2022-09-06T00:00:00"/>
    <x v="9"/>
    <s v="GT0134"/>
    <s v="FR-400-GT-0162-2022"/>
    <s v="N/A"/>
    <s v="Suministro Plataforma de control Softswitch clase 4 y clase 5 y SBC para la GUENTIC"/>
    <n v="1500000000"/>
    <m/>
    <s v="900-IPU-0560-2022"/>
    <s v="IPU"/>
    <n v="202202659"/>
    <m/>
    <s v="N/A"/>
    <s v="N/A"/>
    <s v="N/A"/>
    <x v="0"/>
    <s v="ANA MARIA GIL"/>
    <d v="2022-09-06T00:00:00"/>
    <e v="#VALUE!"/>
    <e v="#VALUE!"/>
    <s v="NO"/>
    <s v="Devuelto"/>
    <x v="2"/>
    <m/>
    <s v="28 DE SEPTIEMBRE EN ELABORACIONDE FPA E INVITACION"/>
    <d v="2022-09-28T00:00:00"/>
    <x v="5"/>
    <s v="sep"/>
    <n v="22"/>
    <n v="22"/>
    <x v="0"/>
    <s v="INVERSION"/>
    <x v="0"/>
    <m/>
    <m/>
    <m/>
    <m/>
    <m/>
    <m/>
    <m/>
    <m/>
    <m/>
    <m/>
    <m/>
    <m/>
    <m/>
    <m/>
    <x v="1"/>
    <m/>
    <m/>
  </r>
  <r>
    <n v="517"/>
    <s v="0561"/>
    <x v="2"/>
    <d v="2022-09-06T00:00:00"/>
    <x v="9"/>
    <s v="GAA0798"/>
    <s v="FR-300-GAA-0153-2022"/>
    <s v="N/A"/>
    <s v="Renovar los componentes priorizados del sistema de filtración de las PTAPS de la Red Alta (Río Cali y La Reforma)"/>
    <n v="1310994372"/>
    <m/>
    <s v="900-IP-0561-2022"/>
    <s v="IP-"/>
    <s v="202202667_x000a_202202668"/>
    <m/>
    <m/>
    <m/>
    <s v="N/A"/>
    <x v="2"/>
    <s v="HAROLD MONDRAGON"/>
    <d v="2022-09-06T00:00:00"/>
    <e v="#VALUE!"/>
    <e v="#VALUE!"/>
    <m/>
    <s v="Cerrado"/>
    <x v="0"/>
    <d v="2022-12-09T00:00:00"/>
    <s v="28 DE SPETIEMBRE EN EVALUACION_x000a_10-11-2022, pediente aclaracion por parte del proponente "/>
    <d v="2022-12-09T00:00:00"/>
    <x v="5"/>
    <s v="dic"/>
    <n v="94"/>
    <n v="94"/>
    <x v="5"/>
    <s v="INVERSION"/>
    <x v="0"/>
    <m/>
    <m/>
    <m/>
    <m/>
    <m/>
    <m/>
    <m/>
    <m/>
    <m/>
    <m/>
    <m/>
    <m/>
    <m/>
    <m/>
    <x v="0"/>
    <m/>
    <m/>
  </r>
  <r>
    <n v="518"/>
    <s v="0562"/>
    <x v="2"/>
    <d v="2022-09-06T00:00:00"/>
    <x v="9"/>
    <s v="GAA0801"/>
    <s v="FR-300-GAA-0241-2022"/>
    <s v="N/A"/>
    <s v="Mantenimiento preventivo y correctivo de los componentes hidráulicos y obra civiles de las estaciones reguladoras de presion - ERP, puntos criticos - PC, en los sectores materializados del sistema de distribución de Agua Potable de la ciudad de Cali"/>
    <n v="499994047"/>
    <s v="2 MESES"/>
    <s v="900-IP-0562-2022"/>
    <m/>
    <n v="202200782"/>
    <n v="2200000000"/>
    <s v="N/A"/>
    <s v="N/A"/>
    <s v="N/A"/>
    <x v="2"/>
    <s v="HAROLD MONDRAGON"/>
    <d v="2022-09-06T00:00:00"/>
    <e v="#VALUE!"/>
    <e v="#VALUE!"/>
    <s v="SI"/>
    <s v="Entregado al area"/>
    <x v="1"/>
    <m/>
    <m/>
    <d v="2022-09-21T00:00:00"/>
    <x v="11"/>
    <m/>
    <n v="15"/>
    <n v="15"/>
    <x v="2"/>
    <s v="FUNCIONAMIENTO"/>
    <x v="336"/>
    <d v="2022-09-14T00:00:00"/>
    <n v="498670335"/>
    <s v="ALVARO LAZARO DEL VALLE"/>
    <n v="202208432"/>
    <n v="1323712"/>
    <m/>
    <m/>
    <m/>
    <m/>
    <m/>
    <s v="CALI"/>
    <s v="LOCAL"/>
    <m/>
    <n v="2.6474555206054285E-3"/>
    <x v="0"/>
    <n v="1"/>
    <n v="11"/>
  </r>
  <r>
    <n v="519"/>
    <s v="0563"/>
    <x v="2"/>
    <d v="2022-09-06T00:00:00"/>
    <x v="9"/>
    <s v="GAA0798"/>
    <s v="FR-300-GAA-0242-2022"/>
    <s v="N/A"/>
    <s v="Mantenimiento de los componentes eléctricos, de instrumentación y comunicaciones en las estaciones reguladoras de presion (ERP), puntoscríticos (PC) de la Sectorización Hidráulica"/>
    <n v="499995611"/>
    <s v="2 MESES"/>
    <s v="900-IP-0563-2022"/>
    <m/>
    <n v="202200782"/>
    <n v="2200000000"/>
    <s v="N/A"/>
    <s v="N/A"/>
    <s v="N/A"/>
    <x v="2"/>
    <s v="HAROLD MONDRAGON"/>
    <d v="2022-09-21T00:00:00"/>
    <e v="#VALUE!"/>
    <e v="#VALUE!"/>
    <s v="SI"/>
    <s v="Entregado al area"/>
    <x v="1"/>
    <m/>
    <m/>
    <d v="2022-09-21T00:00:00"/>
    <x v="11"/>
    <m/>
    <n v="15"/>
    <n v="0"/>
    <x v="2"/>
    <s v="FUNCIONAMIENTO"/>
    <x v="337"/>
    <d v="2022-09-14T00:00:00"/>
    <n v="499859500"/>
    <s v="EQUIPOSY HERRAMIENTAS INDUSTRIALES SAS"/>
    <n v="202208431"/>
    <n v="136111"/>
    <m/>
    <m/>
    <m/>
    <m/>
    <m/>
    <s v="CALI"/>
    <s v="LOCAL"/>
    <m/>
    <n v="2.7222438958569178E-4"/>
    <x v="0"/>
    <n v="1"/>
    <n v="11"/>
  </r>
  <r>
    <n v="520"/>
    <s v="0564"/>
    <x v="2"/>
    <d v="2022-09-06T00:00:00"/>
    <x v="9"/>
    <s v="GAA0799"/>
    <s v="FR-300-GAA-0243-2022"/>
    <s v="N/A"/>
    <s v="Mantenimientos de los macromedidores electromagneticos de la sectorización hidráulica del sistema de distribución de Agua Potable de la ciudad de Cali"/>
    <n v="498025516"/>
    <s v="2 MESES"/>
    <s v="900-IP-0564-2022"/>
    <m/>
    <n v="202200782"/>
    <m/>
    <s v="N/A"/>
    <s v="N/A"/>
    <s v="N/A"/>
    <x v="2"/>
    <s v="HAROLD MONDRAGON"/>
    <d v="2022-09-06T00:00:00"/>
    <e v="#VALUE!"/>
    <e v="#VALUE!"/>
    <s v="SI"/>
    <s v="Entregado al area"/>
    <x v="1"/>
    <m/>
    <m/>
    <d v="2022-09-23T00:00:00"/>
    <x v="11"/>
    <m/>
    <n v="17"/>
    <n v="17"/>
    <x v="2"/>
    <s v="FUNCIONAMIENTO"/>
    <x v="338"/>
    <d v="2022-09-15T00:00:00"/>
    <n v="498012620"/>
    <s v="EQUIPOS Y HERRAMIENTAS INDUSTRIALES SAS"/>
    <n v="202208439"/>
    <n v="12896"/>
    <m/>
    <m/>
    <m/>
    <m/>
    <m/>
    <s v="CALI"/>
    <s v="LOCAL"/>
    <m/>
    <n v="2.5894255586695681E-5"/>
    <x v="0"/>
    <n v="1"/>
    <n v="13"/>
  </r>
  <r>
    <n v="521"/>
    <s v="0565"/>
    <x v="2"/>
    <d v="2022-09-06T00:00:00"/>
    <x v="9"/>
    <s v="GAA0800"/>
    <s v="FR-300-GAA-0244-2022"/>
    <s v="N/A"/>
    <s v="Mantenimientos de CAP Y Dataloger de las estaciones reguladoras de presión (ERP) y puntos criticos (PC) del sistema de distribución de Agua Potable de EMCALI EICE ESP"/>
    <n v="499973007"/>
    <s v="2 MESES"/>
    <s v="900-IP-0565-2022"/>
    <m/>
    <n v="202200782"/>
    <m/>
    <s v="N/A"/>
    <s v="N/A"/>
    <s v="N/A"/>
    <x v="2"/>
    <s v="HAROLD MONDRAGON"/>
    <d v="2022-09-06T00:00:00"/>
    <e v="#VALUE!"/>
    <e v="#VALUE!"/>
    <s v="SI"/>
    <s v="Entregado al area"/>
    <x v="1"/>
    <m/>
    <m/>
    <d v="2022-09-21T00:00:00"/>
    <x v="11"/>
    <m/>
    <n v="15"/>
    <n v="15"/>
    <x v="2"/>
    <s v="FUNCIONAMIENTO"/>
    <x v="339"/>
    <d v="2022-09-14T00:00:00"/>
    <n v="498251989"/>
    <s v="ALVARO LAZARO DEL VALLE "/>
    <m/>
    <n v="1721018"/>
    <m/>
    <m/>
    <m/>
    <m/>
    <m/>
    <m/>
    <m/>
    <m/>
    <n v="3.442221831787811E-3"/>
    <x v="0"/>
    <n v="1"/>
    <n v="11"/>
  </r>
  <r>
    <n v="522"/>
    <s v="0566"/>
    <x v="6"/>
    <d v="2022-09-08T00:00:00"/>
    <x v="9"/>
    <m/>
    <s v="FR-200-GTI-0119-2022"/>
    <s v="N/A"/>
    <s v="Suscripción para uso de la plataforma de servicios de las API´s (Application Programming Interface) de Google Maps, para cumplir con los requerimientos propios o de Ley, respecto a la geolocalización de servicios, personas, rutas"/>
    <n v="1000000"/>
    <m/>
    <s v="900-IP-0566-2022"/>
    <s v="IP-"/>
    <n v="202205711"/>
    <m/>
    <m/>
    <m/>
    <s v="N/A"/>
    <x v="2"/>
    <s v="FRANCIA RAMÍREZ"/>
    <d v="2022-09-08T00:00:00"/>
    <e v="#VALUE!"/>
    <e v="#VALUE!"/>
    <m/>
    <s v="Entregado al area"/>
    <x v="1"/>
    <d v="2022-12-21T00:00:00"/>
    <m/>
    <d v="2022-12-20T00:00:00"/>
    <x v="14"/>
    <s v="dic"/>
    <n v="103"/>
    <n v="103"/>
    <x v="2"/>
    <s v="FUNCIONAMIENTO"/>
    <x v="340"/>
    <d v="2022-12-13T00:00:00"/>
    <n v="999600"/>
    <s v="CARLOS GIOVANNI PARADA AVILA"/>
    <s v="AB-2300002991"/>
    <n v="400"/>
    <m/>
    <m/>
    <m/>
    <m/>
    <m/>
    <m/>
    <m/>
    <m/>
    <n v="4.0000000000000002E-4"/>
    <x v="1"/>
    <n v="1"/>
    <n v="46"/>
  </r>
  <r>
    <n v="523"/>
    <s v="0567"/>
    <x v="6"/>
    <d v="2022-09-09T00:00:00"/>
    <x v="9"/>
    <s v="GTI0037"/>
    <s v="FR-200-GTI-0114-2022"/>
    <s v="N/A"/>
    <s v="Prestar servicios profesionales especializados de análisis, diseño, desarrollo, pruebas, puesta en producción y documentaciónpara la solución a la medida de nuevos requerimientos, mejoras y actualizaciones a aplicativos web de EMCALI soportados en las plataformas usadas por la entidad."/>
    <n v="177488500"/>
    <s v="28 DE NOVIEMBRE 2022"/>
    <s v="900-IP-0567-2022"/>
    <m/>
    <n v="202205631"/>
    <n v="177488500"/>
    <s v="N/A"/>
    <s v="N/A"/>
    <s v="N/A"/>
    <x v="2"/>
    <s v="CAMILO NUÑEZ"/>
    <d v="2022-09-12T00:00:00"/>
    <n v="60"/>
    <n v="57"/>
    <s v="SI"/>
    <s v="Entregado al area"/>
    <x v="1"/>
    <s v="28 DE SEPTIEMBRE EN SOLICITUD DE POLIZAS"/>
    <m/>
    <d v="2022-10-06T00:00:00"/>
    <x v="12"/>
    <n v="27"/>
    <m/>
    <n v="24"/>
    <x v="2"/>
    <s v="FUNCIONAMIENTO"/>
    <x v="341"/>
    <d v="2022-09-15T00:00:00"/>
    <n v="177405200"/>
    <s v="VIVENTIC SAS"/>
    <n v="202208541"/>
    <n v="83300"/>
    <s v="CALI"/>
    <s v="LOCAL"/>
    <m/>
    <m/>
    <m/>
    <m/>
    <m/>
    <m/>
    <n v="4.693261816962789E-4"/>
    <x v="1"/>
    <n v="1"/>
    <n v="19"/>
  </r>
  <r>
    <n v="524"/>
    <s v="0568"/>
    <x v="6"/>
    <d v="2022-09-09T00:00:00"/>
    <x v="9"/>
    <s v="GTI0189"/>
    <s v="FR-200-GTI-0109-2022"/>
    <s v="N/A"/>
    <s v="Actualización del licenciamiento del software ArcGIS sobre el cual, opera el sistema de información Geográfica de la UENAA"/>
    <n v="260464881"/>
    <m/>
    <s v="900-IP-0568-2022"/>
    <s v="IP-"/>
    <n v="202203588"/>
    <m/>
    <s v="N/A"/>
    <s v="N/A"/>
    <s v="N/A"/>
    <x v="2"/>
    <s v="CAMILO NUÑEZ"/>
    <d v="2022-09-12T00:00:00"/>
    <e v="#VALUE!"/>
    <e v="#VALUE!"/>
    <m/>
    <s v="Devuelto"/>
    <x v="2"/>
    <d v="2022-12-06T00:00:00"/>
    <s v="28 DE SEPTIEMBRE EN ELABORACIONDE FPA E INVITACION_x000a_10-11-2022, COTIZACIONES_x000a_24-11-2022,  PROCESO QUE PRESENTA DEMORA DEBIDO A QUE DESDE EL DIA 04 DE NOVIEMBRE SE SOLICITO CDP AJUSTADO A SAP(AL AREA), AL NO TENER RESPUESTA POR PARTE DEL AREA, BAJE DIRECTAMENTE AL AREA DE PRESUPUESTO A QUE ME EMITIERAN NUEVO CDP._x000a_30-11-2022, EL PROCESO SE VA A DEVOLVER PORQUE ES UN SAM"/>
    <d v="2022-11-30T00:00:00"/>
    <x v="5"/>
    <s v="nov"/>
    <n v="82"/>
    <n v="79"/>
    <x v="1"/>
    <s v="FUNCIONAMIENTO_x000a_INVERSION"/>
    <x v="0"/>
    <m/>
    <m/>
    <m/>
    <m/>
    <m/>
    <m/>
    <m/>
    <m/>
    <m/>
    <m/>
    <m/>
    <m/>
    <m/>
    <m/>
    <x v="1"/>
    <m/>
    <m/>
  </r>
  <r>
    <n v="525"/>
    <s v="0569"/>
    <x v="2"/>
    <d v="2022-09-09T00:00:00"/>
    <x v="9"/>
    <s v="GAA0793"/>
    <s v="FR-300-GAA-0246-2022"/>
    <s v="300-CMA-1974-2020"/>
    <s v="Suministro de elementos de ferreteria"/>
    <n v="286263769"/>
    <s v="18 DE NOVIEMBRE 2022"/>
    <s v="N/A"/>
    <m/>
    <n v="202205687"/>
    <n v="286263769"/>
    <s v="N/A"/>
    <s v="N/A"/>
    <s v="N/A"/>
    <x v="1"/>
    <s v="LUCY ARBELAEZ"/>
    <d v="2022-09-09T00:00:00"/>
    <e v="#VALUE!"/>
    <e v="#VALUE!"/>
    <s v="SI"/>
    <s v="Entregado al area"/>
    <x v="1"/>
    <m/>
    <m/>
    <d v="2022-09-21T00:00:00"/>
    <x v="11"/>
    <m/>
    <n v="12"/>
    <n v="12"/>
    <x v="0"/>
    <s v="FUNCIONAMIENTO"/>
    <x v="342"/>
    <d v="2022-09-15T00:00:00"/>
    <n v="285565244"/>
    <s v="EQUIPOS Y HERRAMIENTAS INDUSTRIALES SAS"/>
    <n v="202208489"/>
    <n v="698525"/>
    <m/>
    <m/>
    <m/>
    <m/>
    <m/>
    <s v="CALI"/>
    <s v="LOCAL"/>
    <m/>
    <n v="2.4401446345800053E-3"/>
    <x v="0"/>
    <n v="0"/>
    <n v="12"/>
  </r>
  <r>
    <n v="526"/>
    <s v="0570"/>
    <x v="2"/>
    <d v="2022-09-09T00:00:00"/>
    <x v="9"/>
    <s v="GAA0746"/>
    <s v="FR-300-GAA-0245-2022"/>
    <s v="N/A"/>
    <s v="Efectuar el mantenimiento del sistema de abastecimiento de agua proveniente del pozo profundo, ubicado en la planta de alcantarillado, para ser utilizada en lavado de equipos y estructuras y mantenimiento de la red de distribución, red de desagÜe (desarenador y trampa de aceites), además de incluir la realización de los documentos y trámites necesarios para la legalización del uso del agua del pozo ante la Autoridad Ambiental - DAGMA"/>
    <n v="64998990"/>
    <m/>
    <s v="900-IP-0570-2022"/>
    <s v="IP-"/>
    <n v="202205888"/>
    <m/>
    <m/>
    <m/>
    <s v="N/A"/>
    <x v="2"/>
    <s v="LUCY ARBELAEZ"/>
    <d v="2022-09-12T00:00:00"/>
    <e v="#VALUE!"/>
    <e v="#VALUE!"/>
    <m/>
    <s v="Cerrado"/>
    <x v="0"/>
    <d v="2022-12-27T00:00:00"/>
    <m/>
    <d v="2022-12-29T00:00:00"/>
    <x v="5"/>
    <s v="dic"/>
    <n v="111"/>
    <n v="108"/>
    <x v="3"/>
    <s v="FUNCIONAMIENTO"/>
    <x v="0"/>
    <m/>
    <m/>
    <m/>
    <m/>
    <m/>
    <m/>
    <m/>
    <m/>
    <m/>
    <m/>
    <m/>
    <m/>
    <m/>
    <m/>
    <x v="0"/>
    <m/>
    <m/>
  </r>
  <r>
    <n v="527"/>
    <s v="0571"/>
    <x v="6"/>
    <d v="2022-09-09T00:00:00"/>
    <x v="9"/>
    <s v="GTI0191"/>
    <s v="FR-200-GTI-0110-2022"/>
    <s v="N/A"/>
    <s v="Actualizaciónpor un (1) año de la licencia de Infowater a través de la cual opera el Modelo de Simulación Hidráulica de Acueducto en el Centro de Control Maestro de la UENNA"/>
    <n v="35000000"/>
    <m/>
    <s v="900-IP-0477-2022"/>
    <s v="IP-"/>
    <n v="202203030"/>
    <m/>
    <m/>
    <m/>
    <s v="N/A"/>
    <x v="2"/>
    <s v="LUCY ARBELAEZ"/>
    <d v="2022-09-13T00:00:00"/>
    <e v="#VALUE!"/>
    <e v="#VALUE!"/>
    <s v="NO"/>
    <s v="Devuelto"/>
    <x v="2"/>
    <d v="2022-11-17T00:00:00"/>
    <s v="Devuelto con memorando 901-0308-2022 a la Gerencia de Area Tecnologia de la Informacion por tener caracteristicas de SAM."/>
    <d v="2022-11-17T00:00:00"/>
    <x v="5"/>
    <s v="nov"/>
    <n v="69"/>
    <n v="65"/>
    <x v="3"/>
    <s v="FUNCIONAMIENTO_x000a_INVERSION"/>
    <x v="0"/>
    <m/>
    <m/>
    <m/>
    <m/>
    <m/>
    <m/>
    <m/>
    <m/>
    <m/>
    <m/>
    <m/>
    <m/>
    <m/>
    <m/>
    <x v="1"/>
    <m/>
    <m/>
  </r>
  <r>
    <n v="528"/>
    <s v="0572"/>
    <x v="1"/>
    <d v="2022-09-13T00:00:00"/>
    <x v="9"/>
    <s v="GE0382"/>
    <s v="FR-500-GE-0211-2022"/>
    <s v="N/A"/>
    <s v="Suministro de Inversor para RACK de 125 V DC 120 V AC"/>
    <n v="58274291"/>
    <m/>
    <s v="900-IP-0572-2022"/>
    <s v="IP-"/>
    <n v="202203959"/>
    <m/>
    <s v="N/A"/>
    <s v="N/A"/>
    <s v="N/A"/>
    <x v="2"/>
    <s v="ANA MARIA GIL"/>
    <d v="2022-09-14T00:00:00"/>
    <e v="#VALUE!"/>
    <e v="#VALUE!"/>
    <m/>
    <s v="Entregado al area"/>
    <x v="1"/>
    <d v="2022-12-26T00:00:00"/>
    <s v="28 DE SEPTIEMBRE EN ELABORACIONDE FPA E INVITACION_x000a_Se pídieron nuevamente los conceptos para ingresar las garantia de seriedad de la oferta_x000a_10-11-2022, se netrega al asesor para revision y firmas_x000a_24-11-2022 PENDIENTE QUE AREA AJUSTE VALOR DE PRESUPUESTO PARA CONTRATAR"/>
    <d v="2022-12-26T00:00:00"/>
    <x v="14"/>
    <s v="dic"/>
    <n v="104"/>
    <n v="103"/>
    <x v="2"/>
    <s v="INVERSION"/>
    <x v="343"/>
    <d v="2022-12-19T00:00:00"/>
    <n v="58274291"/>
    <s v="POTENCIA Y TECNOLOGIAS INCORPORADAS SA"/>
    <s v="AB-2300003079"/>
    <n v="0"/>
    <m/>
    <m/>
    <m/>
    <m/>
    <m/>
    <m/>
    <m/>
    <m/>
    <n v="0"/>
    <x v="0"/>
    <n v="1"/>
    <n v="47"/>
  </r>
  <r>
    <n v="529"/>
    <s v="0573"/>
    <x v="6"/>
    <d v="2022-09-14T00:00:00"/>
    <x v="9"/>
    <s v="GTI0201"/>
    <s v="FR-200-GTI-0121-2022"/>
    <s v="N/A"/>
    <s v="Prestación de servicios especializado para atención de solicitudes de servicios, según las prácticas o procesos operativos de la metodología ITIL, considerando el segundo nivel especializado, y tercer nivel de soporte o fabricante para los modulos de SAP S4/Hana, Ariba y Success factor"/>
    <n v="483000000"/>
    <m/>
    <s v="900-IP-0573-2022"/>
    <s v="IP-"/>
    <n v="202205833"/>
    <n v="483000000"/>
    <s v="N/A"/>
    <s v="N/A"/>
    <s v="N/A"/>
    <x v="2"/>
    <s v="AYDEE OVALLE"/>
    <d v="2022-09-14T00:00:00"/>
    <e v="#VALUE!"/>
    <e v="#VALUE!"/>
    <s v="NO"/>
    <s v="Cerrado"/>
    <x v="0"/>
    <m/>
    <s v="SE CIERRA PORQUE ES INADMISIBLE LA PROPUESTA"/>
    <d v="2022-09-28T00:00:00"/>
    <x v="5"/>
    <s v="sep"/>
    <n v="14"/>
    <n v="14"/>
    <x v="3"/>
    <s v="FUNCIONAMIENTO"/>
    <x v="0"/>
    <m/>
    <m/>
    <m/>
    <m/>
    <m/>
    <m/>
    <m/>
    <m/>
    <m/>
    <m/>
    <m/>
    <m/>
    <m/>
    <m/>
    <x v="1"/>
    <m/>
    <m/>
  </r>
  <r>
    <n v="530"/>
    <s v="0574"/>
    <x v="1"/>
    <d v="2022-09-14T00:00:00"/>
    <x v="9"/>
    <s v="GE0365"/>
    <s v="FR-500-GE-0246-2022"/>
    <s v="N/A"/>
    <s v="Suministro de radios digital"/>
    <n v="12959100"/>
    <m/>
    <s v="900-IP-0574-2022"/>
    <s v="IP-"/>
    <n v="202202155"/>
    <n v="12959100"/>
    <s v="N/A"/>
    <s v="N/A"/>
    <s v="N/A"/>
    <x v="2"/>
    <s v="JULIO ERAZO"/>
    <d v="2022-09-14T00:00:00"/>
    <e v="#VALUE!"/>
    <e v="#VALUE!"/>
    <m/>
    <s v="Cerrado"/>
    <x v="0"/>
    <d v="2022-12-07T00:00:00"/>
    <s v="ESTE PROCESO ES POSIBLE QUE SE CIERRE PORQUE NO SE RECIBE LA OFERTA DEL PROVEEDOR INVITADO _x000a_07-12-2022, proceso cerrado mediante acta "/>
    <d v="2022-12-07T00:00:00"/>
    <x v="5"/>
    <s v="dic"/>
    <n v="84"/>
    <n v="84"/>
    <x v="3"/>
    <s v="FUNCIONAMIENTO"/>
    <x v="0"/>
    <m/>
    <m/>
    <m/>
    <m/>
    <m/>
    <m/>
    <m/>
    <m/>
    <m/>
    <m/>
    <m/>
    <m/>
    <m/>
    <m/>
    <x v="0"/>
    <m/>
    <m/>
  </r>
  <r>
    <n v="531"/>
    <s v="0575"/>
    <x v="2"/>
    <d v="2022-09-14T00:00:00"/>
    <x v="9"/>
    <s v="GAA0129"/>
    <s v="FR-300-GAA-0247-2022"/>
    <s v="N/A"/>
    <s v="Servicio de mantenimiento preventivo, ajuste y verificación de calibración de estación total robótica y mantenimiento correctivo de bastones telescópicos, incluye suministro de repuestos, del Centro de Control Maestro de Ac y Alc de la Unidad de Ingeniería de la Gerencia UENAA."/>
    <n v="3000000"/>
    <m/>
    <s v="900-IP-0575-2022"/>
    <s v="IP-"/>
    <n v="202203057"/>
    <m/>
    <m/>
    <m/>
    <m/>
    <x v="2"/>
    <s v="MARIA CAMILA OLIVEROS"/>
    <d v="2022-09-14T00:00:00"/>
    <e v="#VALUE!"/>
    <e v="#VALUE!"/>
    <m/>
    <s v="Cerrado"/>
    <x v="0"/>
    <d v="2022-12-30T00:00:00"/>
    <s v="28 DE SEPTIEMBRE ESPERANDO REGISTRO DE PROVEEDORES_x000a_12-11-2022,  En espera de cotización, la cotización que envía el áera con el proveedor DIGITOP, aún no ha hecho el registro de proveedor"/>
    <d v="2022-12-30T00:00:00"/>
    <x v="5"/>
    <s v="dic"/>
    <n v="107"/>
    <n v="107"/>
    <x v="3"/>
    <s v="FUNCIONAMIENTO"/>
    <x v="0"/>
    <m/>
    <m/>
    <m/>
    <m/>
    <m/>
    <m/>
    <m/>
    <m/>
    <m/>
    <m/>
    <m/>
    <m/>
    <m/>
    <m/>
    <x v="0"/>
    <m/>
    <m/>
  </r>
  <r>
    <n v="532"/>
    <s v="0576"/>
    <x v="6"/>
    <d v="2022-09-14T00:00:00"/>
    <x v="9"/>
    <s v="GTI0198"/>
    <s v="FR-200-GTI-0118-2022"/>
    <s v="N/A"/>
    <s v="Servicio en Nube de escritorios remotos mensualizado para equipos de computo, que fortalezcan el desarrollo de las actividades de PQRS Y CALL CENTER solicitada por la Gerencia de Comerciales"/>
    <n v="174350001"/>
    <s v="3 MESES"/>
    <s v="900-IP-0533-2021"/>
    <m/>
    <n v="202205709"/>
    <n v="174350001"/>
    <s v="N/A"/>
    <s v="N/A"/>
    <m/>
    <x v="2"/>
    <s v="AYDEE OVALLE"/>
    <d v="2022-09-14T00:00:00"/>
    <e v="#VALUE!"/>
    <e v="#VALUE!"/>
    <s v="SI"/>
    <s v="Entregado al area"/>
    <x v="1"/>
    <m/>
    <m/>
    <d v="2022-09-23T00:00:00"/>
    <x v="11"/>
    <m/>
    <n v="9"/>
    <n v="9"/>
    <x v="1"/>
    <s v="FUNCIONAMIENTO"/>
    <x v="344"/>
    <d v="2022-09-15T00:00:00"/>
    <n v="174348380"/>
    <s v="SOLUCIONES DE TECNOLOGIA E INGENIERIA SAS"/>
    <n v="202208525"/>
    <n v="1621"/>
    <m/>
    <m/>
    <m/>
    <m/>
    <m/>
    <s v="BOGOTA"/>
    <s v="NACIONAL"/>
    <m/>
    <n v="9.2973902535280177E-6"/>
    <x v="1"/>
    <n v="1"/>
    <n v="7"/>
  </r>
  <r>
    <n v="533"/>
    <s v="0577"/>
    <x v="5"/>
    <d v="2022-09-14T00:00:00"/>
    <x v="9"/>
    <s v="GHA0249"/>
    <s v="FR-800-GHA-0198-2022"/>
    <s v="800-CMA-1916-2021"/>
    <s v="Realizar las actividades necesarias para llevar a cabo las adecuaciones locativas y mantenimientos preventivos y correctivos en la Gerencia de Unidad Estrategica de Negocio de Energía - mitigación de ingreso de palomas, mantenimiento a baterías sanitarias, cubiertas y cerramientos"/>
    <n v="1076738029"/>
    <s v="31 DE DICIEMBRE 2022"/>
    <s v="N/A"/>
    <m/>
    <n v="202204128"/>
    <m/>
    <s v="N/A"/>
    <s v="N/A"/>
    <m/>
    <x v="1"/>
    <s v="FRANCIA RAMÍREZ"/>
    <d v="2022-09-14T00:00:00"/>
    <e v="#VALUE!"/>
    <e v="#VALUE!"/>
    <s v="SI"/>
    <s v="Entregado al area"/>
    <x v="1"/>
    <m/>
    <m/>
    <d v="2022-09-28T00:00:00"/>
    <x v="11"/>
    <m/>
    <n v="14"/>
    <n v="14"/>
    <x v="0"/>
    <s v="FUNCIONAMIENTO"/>
    <x v="345"/>
    <d v="2022-09-15T00:00:00"/>
    <n v="1022901163"/>
    <s v="CONSORCIO IGS 2021"/>
    <n v="202208585"/>
    <n v="53836866"/>
    <m/>
    <m/>
    <m/>
    <m/>
    <m/>
    <s v="CALI"/>
    <s v="LOCAL"/>
    <m/>
    <n v="4.9999967076485602E-2"/>
    <x v="1"/>
    <n v="0"/>
    <n v="14"/>
  </r>
  <r>
    <n v="534"/>
    <s v="0578"/>
    <x v="5"/>
    <d v="2022-09-14T00:00:00"/>
    <x v="9"/>
    <s v="GHA0068"/>
    <s v="FR-800-GHA-0156-2022"/>
    <s v="N/A"/>
    <s v="Realizar la compra de café y azúcar, como elementos de cafeteria necesarios para EMCALI EICE ESP"/>
    <n v="118488510"/>
    <s v="28 DE NOVIEBRE 2022"/>
    <s v="900-IP-0578-2022"/>
    <m/>
    <s v="202204454_x000a_202203557_x000a_202203531_x000a_202203532_x000a_202203533"/>
    <n v="118488510"/>
    <s v="N/A"/>
    <s v="N/A"/>
    <s v="N/A"/>
    <x v="2"/>
    <s v="ANA MARIA GIL"/>
    <d v="2022-09-14T00:00:00"/>
    <n v="55"/>
    <n v="55"/>
    <s v="SI"/>
    <s v="Entregado al area"/>
    <x v="1"/>
    <s v="27 DE SEPTIEMBRE EN EXPEDICION DE POLIZAS"/>
    <m/>
    <d v="2022-10-03T00:00:00"/>
    <x v="12"/>
    <n v="19"/>
    <m/>
    <n v="19"/>
    <x v="2"/>
    <s v="FUNCIONAMIENTO"/>
    <x v="346"/>
    <d v="2022-09-15T00:00:00"/>
    <n v="118488510"/>
    <s v="MASUNION SAS"/>
    <n v="202208527"/>
    <n v="0"/>
    <s v="CALI"/>
    <s v="LOCAL"/>
    <m/>
    <m/>
    <m/>
    <m/>
    <m/>
    <m/>
    <n v="0"/>
    <x v="1"/>
    <n v="1"/>
    <n v="13"/>
  </r>
  <r>
    <n v="535"/>
    <s v="0579"/>
    <x v="1"/>
    <d v="2022-09-15T00:00:00"/>
    <x v="9"/>
    <s v="PENDIENTE"/>
    <s v="FR-500-GE-0231-2022"/>
    <s v="N/A"/>
    <s v="Suministro Transformadores de Corriente"/>
    <n v="449226785"/>
    <s v="60 DIAS"/>
    <s v="900-IP-0579-2022"/>
    <m/>
    <n v="202205366"/>
    <n v="449226785"/>
    <s v="N/A"/>
    <s v="N/A"/>
    <m/>
    <x v="2"/>
    <s v="LINA ECHAVARRIA"/>
    <d v="2022-09-15T00:00:00"/>
    <e v="#VALUE!"/>
    <e v="#VALUE!"/>
    <s v="SI"/>
    <s v="Entregado al area"/>
    <x v="1"/>
    <m/>
    <m/>
    <d v="2022-09-23T00:00:00"/>
    <x v="11"/>
    <m/>
    <n v="8"/>
    <n v="8"/>
    <x v="2"/>
    <s v="INVERSION"/>
    <x v="347"/>
    <d v="2022-09-15T00:00:00"/>
    <n v="163548143"/>
    <s v="INPEL SA"/>
    <n v="202208551"/>
    <n v="285678642"/>
    <m/>
    <m/>
    <m/>
    <m/>
    <m/>
    <s v="CALI"/>
    <s v="LOCAL"/>
    <m/>
    <n v="0.63593412400821114"/>
    <x v="0"/>
    <n v="1"/>
    <n v="6"/>
  </r>
  <r>
    <n v="536"/>
    <s v="0580"/>
    <x v="6"/>
    <d v="2022-09-15T00:00:00"/>
    <x v="9"/>
    <s v="GTI0202"/>
    <s v="FR-200-GTI-0120-2022"/>
    <s v="N/A"/>
    <s v="Adquisición de Librería IBM TS4300 con 6 drives LT07 8 ( con posibilidad de conectar 2 LTO más)"/>
    <n v="391316625"/>
    <s v="30 DIAS"/>
    <s v="900-IP-0580-2022"/>
    <m/>
    <n v="202205681"/>
    <m/>
    <s v="N/A"/>
    <s v="N/A"/>
    <m/>
    <x v="2"/>
    <s v="AYDEE OVALLE"/>
    <d v="2022-09-15T00:00:00"/>
    <e v="#VALUE!"/>
    <e v="#VALUE!"/>
    <s v="SI"/>
    <s v="Entregado al area"/>
    <x v="1"/>
    <m/>
    <m/>
    <d v="2022-09-21T00:00:00"/>
    <x v="11"/>
    <m/>
    <n v="6"/>
    <n v="6"/>
    <x v="2"/>
    <s v="FUNCIONAMIENTO"/>
    <x v="348"/>
    <d v="2022-09-15T00:00:00"/>
    <n v="391316625"/>
    <s v="INTEGRA TIC TECNOLOGIAS DE OPTIMIZACION SAS"/>
    <m/>
    <n v="0"/>
    <m/>
    <m/>
    <m/>
    <m/>
    <m/>
    <m/>
    <m/>
    <m/>
    <n v="0"/>
    <x v="1"/>
    <n v="1"/>
    <n v="4"/>
  </r>
  <r>
    <n v="537"/>
    <s v="0582"/>
    <x v="3"/>
    <d v="2022-09-16T00:00:00"/>
    <x v="9"/>
    <s v="GT0245"/>
    <s v="FR-400-GT-0203-2022"/>
    <s v="N/A"/>
    <s v="Suministro de conectores modulares para realizar empalme de conductores de cobre en cables multípares de uso en la red de planta externa requeridos para el mantenimiento de las redes de acceso de la GUENTIC"/>
    <n v="115099000"/>
    <m/>
    <m/>
    <s v=""/>
    <n v="202203611"/>
    <m/>
    <m/>
    <m/>
    <m/>
    <x v="3"/>
    <s v="SIN ASIGNAR"/>
    <m/>
    <e v="#VALUE!"/>
    <e v="#VALUE!"/>
    <s v="NO"/>
    <s v="Devuelto"/>
    <x v="2"/>
    <m/>
    <s v="se devuelve por suspension de procesos por parte de  la gerencia general"/>
    <d v="2022-09-16T00:00:00"/>
    <x v="5"/>
    <s v="sep"/>
    <n v="0"/>
    <n v="44820"/>
    <x v="3"/>
    <s v="FUNCIONAMIENTO"/>
    <x v="0"/>
    <m/>
    <m/>
    <m/>
    <m/>
    <m/>
    <m/>
    <m/>
    <m/>
    <m/>
    <m/>
    <m/>
    <m/>
    <m/>
    <m/>
    <x v="1"/>
    <m/>
    <m/>
  </r>
  <r>
    <n v="538"/>
    <s v="0583"/>
    <x v="1"/>
    <d v="2022-09-19T00:00:00"/>
    <x v="9"/>
    <s v="GE0184"/>
    <s v="FR-500-GE-0187-2022"/>
    <s v="N/A"/>
    <s v="Mantenimiento de Plantas de Emergencia de las subestaciones de Energia"/>
    <n v="106255100"/>
    <m/>
    <m/>
    <s v=""/>
    <n v="202205421"/>
    <m/>
    <m/>
    <m/>
    <m/>
    <x v="3"/>
    <s v="SIN ASIGNAR"/>
    <m/>
    <e v="#VALUE!"/>
    <e v="#VALUE!"/>
    <s v="NO"/>
    <s v="Devuelto"/>
    <x v="2"/>
    <m/>
    <s v="se devuelve por suspension de procesos por parte de  la gerencia general"/>
    <d v="2022-09-16T00:00:00"/>
    <x v="5"/>
    <s v="sep"/>
    <n v="-3"/>
    <n v="44820"/>
    <x v="3"/>
    <s v="FUNCIONAMIENTO"/>
    <x v="0"/>
    <m/>
    <m/>
    <m/>
    <m/>
    <m/>
    <m/>
    <m/>
    <m/>
    <m/>
    <m/>
    <m/>
    <m/>
    <m/>
    <m/>
    <x v="0"/>
    <m/>
    <m/>
  </r>
  <r>
    <n v="539"/>
    <s v="0584"/>
    <x v="1"/>
    <d v="2022-09-19T00:00:00"/>
    <x v="9"/>
    <s v="GE0190"/>
    <s v="FR-500-GE-0228-2022"/>
    <s v="N/A"/>
    <s v="Mantenimiento de Gatos Hidraulico marca ENERPAC para 50 toneladas"/>
    <n v="35283500"/>
    <m/>
    <m/>
    <s v=""/>
    <n v="202205966"/>
    <m/>
    <m/>
    <m/>
    <m/>
    <x v="3"/>
    <s v="SIN ASIGNAR"/>
    <m/>
    <e v="#VALUE!"/>
    <e v="#VALUE!"/>
    <s v="NO"/>
    <s v="Devuelto"/>
    <x v="2"/>
    <m/>
    <s v="se devuelve por suspension de procesos por parte de  la gerencia general"/>
    <d v="2022-09-16T00:00:00"/>
    <x v="5"/>
    <s v="sep"/>
    <n v="-3"/>
    <n v="44820"/>
    <x v="3"/>
    <s v="FUNCIONAMIENTO"/>
    <x v="0"/>
    <m/>
    <m/>
    <m/>
    <m/>
    <m/>
    <m/>
    <m/>
    <m/>
    <m/>
    <m/>
    <m/>
    <m/>
    <m/>
    <m/>
    <x v="0"/>
    <m/>
    <m/>
  </r>
  <r>
    <n v="540"/>
    <s v="0585"/>
    <x v="1"/>
    <d v="2022-09-19T00:00:00"/>
    <x v="9"/>
    <s v="GE0385"/>
    <s v="FR-500-GE-0260-2022"/>
    <s v="N/A"/>
    <s v="Mantenimiento de Trailers Móviles"/>
    <n v="35700000"/>
    <m/>
    <m/>
    <s v=""/>
    <n v="202205967"/>
    <m/>
    <m/>
    <m/>
    <m/>
    <x v="3"/>
    <s v="SIN ASIGNAR"/>
    <m/>
    <e v="#VALUE!"/>
    <e v="#VALUE!"/>
    <s v="NO"/>
    <s v="Devuelto"/>
    <x v="2"/>
    <m/>
    <m/>
    <d v="2022-09-16T00:00:00"/>
    <x v="5"/>
    <s v="sep"/>
    <n v="-3"/>
    <n v="44820"/>
    <x v="3"/>
    <s v="FUNCIONAMIENTO"/>
    <x v="0"/>
    <m/>
    <m/>
    <m/>
    <m/>
    <m/>
    <m/>
    <m/>
    <m/>
    <m/>
    <m/>
    <m/>
    <m/>
    <m/>
    <m/>
    <x v="0"/>
    <m/>
    <m/>
  </r>
  <r>
    <n v="541"/>
    <s v="0586"/>
    <x v="1"/>
    <d v="2022-09-20T00:00:00"/>
    <x v="9"/>
    <s v="GE0390"/>
    <s v="FR-500-GE-0232-2022"/>
    <s v="N/A"/>
    <s v="Suministro de Conectores de Perforación"/>
    <n v="161640675"/>
    <m/>
    <s v="900-IP-0586-2022"/>
    <s v="IP-"/>
    <n v="202205359"/>
    <m/>
    <s v="N/A"/>
    <s v="N/A"/>
    <s v="N/A"/>
    <x v="2"/>
    <s v="JULIO ERAZO"/>
    <d v="2022-09-20T00:00:00"/>
    <e v="#VALUE!"/>
    <e v="#VALUE!"/>
    <m/>
    <s v="Cerrado"/>
    <x v="0"/>
    <d v="2022-12-27T00:00:00"/>
    <s v="29 de septiembre en espera de la derivad del pacc_x000a_10-11-2022, se paso para revision de asesor GAEP_x000a_12-11-2022 el 900-IP-0491-2022  se cerro y el 900-IP-0586-2022 se entrego para revision el FPA y la Invitacion Privada, ya lo reviso la abogada y ahora esta en revision por parte del asesor Franz Eisen hower Arias. Una vez esten firmados los documentos se procede a enviar la invitacion al proveedor. _x000a_27-12-2022, SE RECIBE PROPUESTA POR PARTE DE LA EMPRESA DISTRIBUCIONES ELÉCTRICAS AC SAS, LA CUAL FUE INADMISIBLE YA QUE PRESENTO LA PÓLIZA DE GARANTÍA DE SERIEDAD DE OFERTA CON OTRO CORREDOR DE SEGUROS DIFERENTE AL DE EMCALI Y LA PROPUESTA ECONÓMICA FUE SUPERIOR AL PRESUPUESTO ESTABLECIDO EN LA INVITACIÓN PRIVADA, RAZÓN POR LA CUAL SE REALIZA ACTA DE CIERRE DEL PROCESO. "/>
    <d v="2022-12-27T00:00:00"/>
    <x v="5"/>
    <s v="dic"/>
    <n v="98"/>
    <n v="98"/>
    <x v="3"/>
    <s v="INVERSION"/>
    <x v="0"/>
    <m/>
    <m/>
    <m/>
    <m/>
    <m/>
    <m/>
    <m/>
    <m/>
    <m/>
    <m/>
    <m/>
    <m/>
    <m/>
    <m/>
    <x v="0"/>
    <m/>
    <m/>
  </r>
  <r>
    <n v="542"/>
    <s v="0587"/>
    <x v="2"/>
    <d v="2022-09-20T00:00:00"/>
    <x v="9"/>
    <s v="GAA0803"/>
    <s v="FR-300-GAA-0251-2022"/>
    <s v="N/A"/>
    <s v="Realizar la reparación, mantenimiento y puesta en funcionamiento de equipos y componentes críticos en Estaciones de Bombeo de Aguas Lluvias y Residuales para mitigar riesgos en el servicio de bombeo asociados a la variabilidad climática"/>
    <n v="500000000"/>
    <m/>
    <s v="900-IP-0587-2022"/>
    <s v="IP-"/>
    <n v="202205979"/>
    <m/>
    <m/>
    <m/>
    <m/>
    <x v="2"/>
    <s v="JHON LARRY CAICEDO"/>
    <d v="2022-11-03T00:00:00"/>
    <e v="#VALUE!"/>
    <e v="#VALUE!"/>
    <s v="NO"/>
    <s v="Revision Asesor GAE"/>
    <x v="2"/>
    <d v="2022-11-24T00:00:00"/>
    <s v="se devuelve por suspension de procesos por parte de  la gerencia general"/>
    <d v="2022-12-13T00:00:00"/>
    <x v="5"/>
    <s v="dic"/>
    <n v="84"/>
    <n v="40"/>
    <x v="3"/>
    <s v="FUNCIONAMIENTO"/>
    <x v="0"/>
    <m/>
    <m/>
    <m/>
    <m/>
    <m/>
    <m/>
    <m/>
    <m/>
    <m/>
    <m/>
    <m/>
    <m/>
    <m/>
    <m/>
    <x v="0"/>
    <m/>
    <m/>
  </r>
  <r>
    <n v="543"/>
    <s v="0588"/>
    <x v="3"/>
    <d v="2022-09-20T00:00:00"/>
    <x v="9"/>
    <s v="GT0235"/>
    <s v="FR-400-GT-0187-2022"/>
    <s v="N/A"/>
    <s v="Compra de equipos terminales (Access Point) para permitir la conectividad de internet a instituciones educativas y demás clientes corporativos que requieran puntos de acceso"/>
    <n v="478845428"/>
    <m/>
    <m/>
    <s v=""/>
    <n v="202204472"/>
    <m/>
    <m/>
    <m/>
    <m/>
    <x v="3"/>
    <s v="JULIO GARCIA"/>
    <d v="2022-11-09T00:00:00"/>
    <e v="#VALUE!"/>
    <e v="#VALUE!"/>
    <s v="NO"/>
    <s v="Devuelto"/>
    <x v="2"/>
    <m/>
    <s v="se devuelve por suspension de procesos por parte de  la gerencia general"/>
    <d v="2022-12-26T00:00:00"/>
    <x v="5"/>
    <s v="dic"/>
    <n v="97"/>
    <n v="47"/>
    <x v="3"/>
    <s v="INVERSION"/>
    <x v="0"/>
    <m/>
    <m/>
    <m/>
    <m/>
    <m/>
    <m/>
    <m/>
    <m/>
    <m/>
    <m/>
    <m/>
    <m/>
    <m/>
    <m/>
    <x v="1"/>
    <m/>
    <m/>
  </r>
  <r>
    <n v="544"/>
    <s v="0589"/>
    <x v="3"/>
    <d v="2022-09-20T00:00:00"/>
    <x v="9"/>
    <s v="GT0251"/>
    <s v="FR-400-GT-0208-2022"/>
    <s v="N/A"/>
    <s v="Suministro de Terminales Ópticos ONT para la instalación de servicios en los clientes a través de la expansión de proyectos de FTTH (fibra hasta la casa) de EMCALI"/>
    <n v="3028654720"/>
    <m/>
    <m/>
    <s v=""/>
    <s v="202203853_x000a_202205919"/>
    <m/>
    <m/>
    <m/>
    <m/>
    <x v="3"/>
    <s v="SIN ASIGNAR"/>
    <m/>
    <e v="#VALUE!"/>
    <e v="#VALUE!"/>
    <s v="NO"/>
    <s v="Devuelto"/>
    <x v="2"/>
    <m/>
    <s v="se devuelve por suspension de procesos por parte de  la gerencia general"/>
    <d v="2022-09-20T00:00:00"/>
    <x v="5"/>
    <s v="sep"/>
    <n v="0"/>
    <n v="44824"/>
    <x v="3"/>
    <s v="INVERSION"/>
    <x v="0"/>
    <m/>
    <m/>
    <m/>
    <m/>
    <m/>
    <m/>
    <m/>
    <m/>
    <m/>
    <m/>
    <m/>
    <m/>
    <m/>
    <m/>
    <x v="1"/>
    <m/>
    <m/>
  </r>
  <r>
    <n v="545"/>
    <s v="0590"/>
    <x v="6"/>
    <d v="2022-09-21T00:00:00"/>
    <x v="9"/>
    <s v="GTI0199"/>
    <s v="FR-200-GTI-0117-2022"/>
    <s v="N/A"/>
    <s v="Adquisición de Diademas Binaurales para el Contact Center de la Gerencia Comercial"/>
    <n v="44292962"/>
    <m/>
    <m/>
    <s v=""/>
    <n v="202205661"/>
    <m/>
    <m/>
    <m/>
    <m/>
    <x v="3"/>
    <s v="SIN ASIGNAR"/>
    <m/>
    <e v="#VALUE!"/>
    <e v="#VALUE!"/>
    <s v="NO"/>
    <s v="Devuelto"/>
    <x v="2"/>
    <m/>
    <s v="se devuelve por suspension de procesos por parte de  la gerencia general"/>
    <d v="2022-09-20T00:00:00"/>
    <x v="5"/>
    <s v="sep"/>
    <n v="-1"/>
    <n v="44824"/>
    <x v="3"/>
    <s v="PENDIENTE"/>
    <x v="0"/>
    <m/>
    <m/>
    <m/>
    <m/>
    <m/>
    <m/>
    <m/>
    <m/>
    <m/>
    <m/>
    <m/>
    <m/>
    <m/>
    <m/>
    <x v="1"/>
    <m/>
    <m/>
  </r>
  <r>
    <n v="546"/>
    <s v="0591"/>
    <x v="1"/>
    <d v="2022-09-23T00:00:00"/>
    <x v="9"/>
    <s v="GE0358"/>
    <s v="FR-500-GE-0225-2022"/>
    <s v="N/A"/>
    <s v="Prestar servicios de transporte especial terrestre en zona urbana y rural de Santiago de Cali"/>
    <n v="160000000"/>
    <m/>
    <m/>
    <s v=""/>
    <n v="202204462"/>
    <m/>
    <m/>
    <m/>
    <m/>
    <x v="3"/>
    <s v="SIN ASIGNAR"/>
    <m/>
    <e v="#VALUE!"/>
    <e v="#VALUE!"/>
    <s v="NO"/>
    <s v="Devuelto"/>
    <x v="2"/>
    <m/>
    <s v="se devuelve por suspension de procesos por parte de  la gerencia general"/>
    <d v="2022-09-20T00:00:00"/>
    <x v="5"/>
    <s v="sep"/>
    <n v="-3"/>
    <n v="44824"/>
    <x v="3"/>
    <s v="FUNCIONAMIENTO"/>
    <x v="0"/>
    <m/>
    <m/>
    <m/>
    <m/>
    <m/>
    <m/>
    <m/>
    <m/>
    <m/>
    <m/>
    <m/>
    <m/>
    <m/>
    <m/>
    <x v="0"/>
    <m/>
    <m/>
  </r>
  <r>
    <n v="547"/>
    <s v="0592"/>
    <x v="3"/>
    <d v="2022-09-24T00:00:00"/>
    <x v="9"/>
    <s v="GT0138_x000a_GT0201_x000a_GT0200_x000a_GT0143"/>
    <s v="FR-400-GT-0156-2022"/>
    <s v="N/A"/>
    <s v="Dotación de componentes especializados para el mantenimiento de redes de acceso en fibra óptica, para el personal de la GUENTIC"/>
    <n v="346526416"/>
    <m/>
    <s v="900-IP-0592-2022"/>
    <s v="IP-"/>
    <s v="202202913_x000a_202202886_x000a_202202885"/>
    <m/>
    <m/>
    <m/>
    <m/>
    <x v="2"/>
    <s v="SIN ASIGNAR"/>
    <m/>
    <e v="#VALUE!"/>
    <e v="#VALUE!"/>
    <s v="NO"/>
    <s v="Devuelto"/>
    <x v="2"/>
    <m/>
    <s v="se devuelve por suspension de procesos por parte de  la gerencia general"/>
    <d v="2022-09-20T00:00:00"/>
    <x v="5"/>
    <s v="sep"/>
    <n v="-4"/>
    <n v="44824"/>
    <x v="3"/>
    <s v="FUNCIONAMIENTO"/>
    <x v="0"/>
    <m/>
    <m/>
    <m/>
    <m/>
    <m/>
    <m/>
    <m/>
    <m/>
    <m/>
    <m/>
    <m/>
    <m/>
    <m/>
    <m/>
    <x v="1"/>
    <m/>
    <m/>
  </r>
  <r>
    <n v="548"/>
    <s v="0593"/>
    <x v="3"/>
    <d v="2022-09-25T00:00:00"/>
    <x v="9"/>
    <s v="GT0143"/>
    <s v="FR-400-GT-0194-2022"/>
    <s v="N/A"/>
    <s v="Suministro de Repuestos e insumos para equipos de climatización de Telecomunicaciones de EMCALI"/>
    <n v="146064884"/>
    <m/>
    <m/>
    <s v=""/>
    <n v="202202989"/>
    <m/>
    <m/>
    <m/>
    <m/>
    <x v="3"/>
    <s v="SIN ASIGNAR"/>
    <m/>
    <e v="#VALUE!"/>
    <e v="#VALUE!"/>
    <s v="NO"/>
    <s v="Devuelto"/>
    <x v="2"/>
    <m/>
    <s v="se devuelve por suspension de procesos por parte de  la gerencia general"/>
    <d v="2022-09-20T00:00:00"/>
    <x v="5"/>
    <s v="sep"/>
    <n v="-5"/>
    <n v="44824"/>
    <x v="3"/>
    <s v="FUNCIONAMIENTO"/>
    <x v="0"/>
    <m/>
    <m/>
    <m/>
    <m/>
    <m/>
    <m/>
    <m/>
    <m/>
    <m/>
    <m/>
    <m/>
    <m/>
    <m/>
    <m/>
    <x v="1"/>
    <m/>
    <m/>
  </r>
  <r>
    <n v="549"/>
    <s v="0594"/>
    <x v="6"/>
    <d v="2022-09-26T00:00:00"/>
    <x v="9"/>
    <s v="GTI0203"/>
    <s v="FR-200-GTI-0134-2022"/>
    <s v="N/A"/>
    <s v="Mantenimiento correctivo de discos de almacenamiento para el array de discos ubicado en el data center del Centro de Control Maestro UENAA, en el cual se almacena la Geodatabase (base de datos) del Sistema de Información Geográfica (SIG)"/>
    <n v="3639020"/>
    <m/>
    <s v="900-IP-0594-2022"/>
    <s v="IP-"/>
    <n v="202205909"/>
    <m/>
    <m/>
    <m/>
    <m/>
    <x v="2"/>
    <s v="JULIO ERAZO"/>
    <d v="2022-11-08T00:00:00"/>
    <n v="119"/>
    <n v="76"/>
    <m/>
    <s v="Entregado al area"/>
    <x v="1"/>
    <d v="2022-12-23T00:00:00"/>
    <s v="REVISION FPA E INVITACION POR PARTE ASESOR GAE"/>
    <d v="2022-12-23T00:00:00"/>
    <x v="14"/>
    <s v="Dec"/>
    <n v="88"/>
    <n v="45"/>
    <x v="2"/>
    <s v="INVERSION"/>
    <x v="349"/>
    <d v="2022-12-16T00:00:00"/>
    <n v="3639020"/>
    <s v="DC TECHNOLOGY SERVICES S.A.S "/>
    <s v="AB-2300003054"/>
    <n v="0"/>
    <m/>
    <m/>
    <m/>
    <m/>
    <m/>
    <m/>
    <m/>
    <m/>
    <n v="0"/>
    <x v="1"/>
    <n v="1"/>
    <n v="37"/>
  </r>
  <r>
    <n v="550"/>
    <s v="0595"/>
    <x v="2"/>
    <d v="2022-09-27T00:00:00"/>
    <x v="9"/>
    <s v="GAA0804"/>
    <s v="FR-300-GAA-0254-2022"/>
    <s v="300-CMA-1974-2020"/>
    <s v="Suministro de herramientas especializadas para la Unidad de Mantenimiento"/>
    <n v="289287619"/>
    <m/>
    <s v="N/A"/>
    <s v=""/>
    <s v="202205992_x000a_202205993"/>
    <m/>
    <m/>
    <m/>
    <m/>
    <x v="1"/>
    <s v="LUCY ARBELAEZ"/>
    <m/>
    <n v="118"/>
    <n v="44949"/>
    <m/>
    <s v="Entregado al area"/>
    <x v="1"/>
    <d v="2022-11-30T00:00:00"/>
    <s v="Se pasa para revision de invitacion a asesora GAE 15-11-2022"/>
    <d v="2022-12-29T00:00:00"/>
    <x v="14"/>
    <s v="Dec"/>
    <n v="93"/>
    <n v="44924"/>
    <x v="0"/>
    <s v="INVERSION"/>
    <x v="350"/>
    <d v="2022-12-16T00:00:00"/>
    <n v="289077539"/>
    <s v="EQUIPOS Y HERRAMIENTAS INDUSTRIALES SAS."/>
    <m/>
    <n v="210080"/>
    <m/>
    <m/>
    <m/>
    <m/>
    <m/>
    <m/>
    <m/>
    <m/>
    <n v="7.2619768770678013E-4"/>
    <x v="0"/>
    <n v="0"/>
    <n v="93"/>
  </r>
  <r>
    <n v="551"/>
    <s v="0596"/>
    <x v="2"/>
    <d v="2022-10-14T00:00:00"/>
    <x v="10"/>
    <s v="GAA0217"/>
    <s v="FR-300-GAA-0255-2022"/>
    <s v="300-CMA-1243-2020"/>
    <s v="Realizar el Suministro de Hidroxido de Sodio para ser utilizado en el Tratamiento de Agua Potable para Consumo Humano"/>
    <n v="363534885"/>
    <m/>
    <s v="N/A"/>
    <s v=""/>
    <n v="202202688"/>
    <m/>
    <m/>
    <m/>
    <m/>
    <x v="3"/>
    <s v="LUCY ARBELAEZ"/>
    <d v="2022-10-18T00:00:00"/>
    <e v="#VALUE!"/>
    <e v="#VALUE!"/>
    <s v="NO"/>
    <s v="Devuelto"/>
    <x v="2"/>
    <d v="2022-11-17T00:00:00"/>
    <s v="Devuelto con memorando 900-0458-2022 a la Gerencia de Eneergia por que el unico proveedor que presento cotización   no cuenta con el personal disponible e idóneo según el alcance requerido en el proceso,  hasta antes de mediados de enero de 2023"/>
    <d v="2022-11-17T00:00:00"/>
    <x v="5"/>
    <s v="nov"/>
    <n v="34"/>
    <n v="30"/>
    <x v="3"/>
    <s v="PENDIENTE"/>
    <x v="0"/>
    <m/>
    <m/>
    <m/>
    <m/>
    <m/>
    <m/>
    <m/>
    <m/>
    <m/>
    <m/>
    <m/>
    <m/>
    <m/>
    <m/>
    <x v="0"/>
    <m/>
    <m/>
  </r>
  <r>
    <n v="552"/>
    <s v="0597"/>
    <x v="6"/>
    <d v="2022-10-24T00:00:00"/>
    <x v="10"/>
    <s v="GTI0201"/>
    <s v="FR-200-GTI-0121-2022"/>
    <m/>
    <s v="Prestación de servicio especializado para atención de solicitudes de servicio, según las prácticas o procesos operativos de la metodología ITIL, considerando el segundo nivel especializado y tercer nivel de soporte o fabricante para los módulos de SAP S4/Hana, Ariba y Success factor."/>
    <n v="483000000"/>
    <m/>
    <m/>
    <s v=""/>
    <n v="202205833"/>
    <m/>
    <m/>
    <m/>
    <m/>
    <x v="3"/>
    <s v="AYDEE OVALLE"/>
    <d v="2022-10-25T00:00:00"/>
    <e v="#VALUE!"/>
    <e v="#VALUE!"/>
    <s v="NO"/>
    <s v="Devuelto"/>
    <x v="2"/>
    <d v="2022-11-10T00:00:00"/>
    <s v="SE DEVUELVE AL AREA CON MEMORANDO 901-0297-2022 DEL 1 DE NOVIEMBRE 2022, REMPLAZAR FR 200-GTI-0138-2022 "/>
    <d v="2022-11-01T00:00:00"/>
    <x v="5"/>
    <s v="nov"/>
    <n v="8"/>
    <n v="7"/>
    <x v="3"/>
    <s v="FUNCIONAMIENTO"/>
    <x v="0"/>
    <m/>
    <m/>
    <m/>
    <m/>
    <m/>
    <m/>
    <m/>
    <m/>
    <m/>
    <m/>
    <m/>
    <m/>
    <m/>
    <m/>
    <x v="1"/>
    <m/>
    <m/>
  </r>
  <r>
    <n v="553"/>
    <s v="0598"/>
    <x v="2"/>
    <d v="2022-10-27T00:00:00"/>
    <x v="10"/>
    <s v="GAA0812"/>
    <s v="FR-300-GAA-0257-2022"/>
    <m/>
    <s v="Atención y Rehabilitación de tuberías Estalladas (Mayores o Iguales a 12&quot;) en diferentes sectores de la Ciudad de Cali"/>
    <n v="500000000"/>
    <m/>
    <s v="900-IP-0598-2022"/>
    <s v="IP-"/>
    <n v="202205991"/>
    <m/>
    <m/>
    <m/>
    <m/>
    <x v="2"/>
    <s v="PAOLA BELTRAN"/>
    <d v="2022-11-08T00:00:00"/>
    <e v="#VALUE!"/>
    <e v="#VALUE!"/>
    <m/>
    <s v="Cerrado"/>
    <x v="0"/>
    <d v="2022-12-30T00:00:00"/>
    <s v="24-11-2022, En revisión de Shara y firma de Gerente Memorando de devolución de requerimiento desde el 24/11/2022 En tramite de firmas de ACTA TERMINACION ANTICIPADA POR MUTUO ACUERDO DE LA ACEPTACION DE OFERTA No  300-AO-2312-2022_x000a_ENTRE EMCALI EICE ESP Y AYAPAC CONSTRUCCIONES SAS dentro del proceso 900-IP-0598-2022, debido a que por motivos expresados por el área referente al plazo de ejecución del proceso no se podria ejecutar vigencia 2022, por tanto se decide emitir acta de terminación por mutuo."/>
    <d v="2022-12-29T00:00:00"/>
    <x v="5"/>
    <s v="dic"/>
    <n v="63"/>
    <n v="51"/>
    <x v="3"/>
    <s v="INVERSION"/>
    <x v="0"/>
    <m/>
    <m/>
    <m/>
    <m/>
    <m/>
    <m/>
    <m/>
    <m/>
    <m/>
    <m/>
    <m/>
    <m/>
    <m/>
    <m/>
    <x v="0"/>
    <m/>
    <m/>
  </r>
  <r>
    <n v="554"/>
    <s v="0599"/>
    <x v="1"/>
    <d v="2022-10-27T00:00:00"/>
    <x v="10"/>
    <s v="GE0395"/>
    <s v="FR-500-GE-0231-2022"/>
    <m/>
    <s v="Suministro Transformadores de Corriente"/>
    <n v="449226785"/>
    <m/>
    <s v="900-IP-0599-2022"/>
    <s v="IP-"/>
    <n v="202205366"/>
    <n v="449226785"/>
    <s v="N/A"/>
    <s v="N/A"/>
    <s v="N/A"/>
    <x v="2"/>
    <s v="LINA ECHAVARRIA"/>
    <d v="2022-10-27T00:00:00"/>
    <e v="#VALUE!"/>
    <e v="#VALUE!"/>
    <m/>
    <s v="Devuelto"/>
    <x v="2"/>
    <d v="2022-12-14T00:00:00"/>
    <s v="25.11.2022 Se solició al area modificaciones requeridas por el Asesor Franz, a la fecha no las han resuelto"/>
    <d v="2022-12-14T00:00:00"/>
    <x v="5"/>
    <s v="dic"/>
    <n v="48"/>
    <n v="48"/>
    <x v="3"/>
    <s v="INVERSION"/>
    <x v="0"/>
    <m/>
    <m/>
    <m/>
    <m/>
    <m/>
    <m/>
    <m/>
    <m/>
    <m/>
    <m/>
    <m/>
    <m/>
    <m/>
    <m/>
    <x v="0"/>
    <m/>
    <m/>
  </r>
  <r>
    <n v="555"/>
    <s v="0602"/>
    <x v="5"/>
    <d v="2022-10-28T00:00:00"/>
    <x v="10"/>
    <s v="GHA0285"/>
    <s v="FR-800-GHA-0201-2022"/>
    <s v="800-AC-2040-2021"/>
    <s v="Suministro de Divisiones Modulares, puestos de trabajo y sillas para amoblar el espacio en la Planta CALLE 13"/>
    <n v="394958715"/>
    <m/>
    <s v="N/A"/>
    <s v=""/>
    <n v="202203918"/>
    <m/>
    <m/>
    <m/>
    <m/>
    <x v="5"/>
    <s v="FRANCIA RAMÍREZ"/>
    <d v="2022-11-11T00:00:00"/>
    <n v="87"/>
    <n v="73"/>
    <m/>
    <s v="Adjudicacion"/>
    <x v="1"/>
    <d v="2022-12-12T00:00:00"/>
    <m/>
    <d v="2022-12-09T00:00:00"/>
    <x v="14"/>
    <s v="Dec"/>
    <n v="42"/>
    <n v="28"/>
    <x v="0"/>
    <s v="FUNCIONAMIENTO"/>
    <x v="351"/>
    <d v="2022-11-29T00:00:00"/>
    <n v="259960578"/>
    <s v="METALICAS JEP SAS "/>
    <s v="AB-2300002959"/>
    <n v="134998137"/>
    <m/>
    <m/>
    <m/>
    <m/>
    <m/>
    <m/>
    <m/>
    <m/>
    <n v="0.34180316036322933"/>
    <x v="1"/>
    <n v="0"/>
    <n v="42"/>
  </r>
  <r>
    <n v="556"/>
    <s v="0603"/>
    <x v="1"/>
    <d v="2022-10-31T00:00:00"/>
    <x v="10"/>
    <s v="GE0233"/>
    <s v="FR-500-GE-0226-2022"/>
    <m/>
    <s v="Suministro de Elementos y Reactivos para Laboratorio"/>
    <n v="21556440"/>
    <m/>
    <s v="900-IP-0603-2022"/>
    <s v="IP-"/>
    <n v="202205431"/>
    <m/>
    <m/>
    <m/>
    <m/>
    <x v="2"/>
    <s v="LINA ECHAVARRIA"/>
    <d v="2022-11-02T00:00:00"/>
    <e v="#VALUE!"/>
    <e v="#VALUE!"/>
    <m/>
    <s v="Cerrado"/>
    <x v="0"/>
    <d v="2022-12-30T00:00:00"/>
    <s v="25.11.2022 Se solició al area modificaciones requeridas por el Asesor Franz, a la fecha no las han resuelto"/>
    <d v="2022-12-30T00:00:00"/>
    <x v="5"/>
    <s v="dic"/>
    <n v="60"/>
    <n v="58"/>
    <x v="3"/>
    <s v="FUNCIONAMIENTO"/>
    <x v="0"/>
    <m/>
    <m/>
    <m/>
    <m/>
    <m/>
    <m/>
    <m/>
    <m/>
    <m/>
    <m/>
    <m/>
    <m/>
    <m/>
    <m/>
    <x v="0"/>
    <m/>
    <m/>
  </r>
  <r>
    <n v="557"/>
    <s v="0604"/>
    <x v="6"/>
    <d v="2022-11-01T00:00:00"/>
    <x v="11"/>
    <s v="GTI0206"/>
    <s v="FR-200-GTI-0138-2022"/>
    <m/>
    <s v="Prestacion de servicio especializado para atencion de solicitudes de servicio, según las practicas o procesos operativos de la metodologia ITIL, considerando el segundo nivel especializado, y tercer nivel de soporte o fabricante para los modulos de SAP S4/Hana"/>
    <n v="467565009"/>
    <m/>
    <s v="900-IP-0604-2022"/>
    <s v="IP-"/>
    <n v="202205833"/>
    <m/>
    <m/>
    <m/>
    <m/>
    <x v="2"/>
    <s v="AYDEE OVALLE"/>
    <d v="2022-11-02T00:00:00"/>
    <n v="83"/>
    <n v="82"/>
    <m/>
    <s v="Entregado al area"/>
    <x v="1"/>
    <d v="2022-12-06T00:00:00"/>
    <m/>
    <d v="2022-12-06T00:00:00"/>
    <x v="14"/>
    <s v="Dec"/>
    <n v="35"/>
    <n v="34"/>
    <x v="2"/>
    <s v="FUNCIONAMIENTO"/>
    <x v="352"/>
    <d v="2022-12-01T00:00:00"/>
    <n v="466562289"/>
    <s v="SOFTIEK RENOVATION SAS"/>
    <s v="AB2300002958"/>
    <n v="1002720"/>
    <m/>
    <m/>
    <m/>
    <m/>
    <m/>
    <m/>
    <m/>
    <m/>
    <n v="2.144557399931525E-3"/>
    <x v="1"/>
    <n v="1"/>
    <n v="25"/>
  </r>
  <r>
    <n v="558"/>
    <s v="0605"/>
    <x v="6"/>
    <d v="2022-11-01T00:00:00"/>
    <x v="11"/>
    <s v="GTI0199"/>
    <s v="FR-200-GTI-0117-2022"/>
    <m/>
    <s v="Adquisicion de diademas binaurales y monoaurales para contac center de la gerencia comercial y la gerencia de telecomunicaciones"/>
    <n v="58893695"/>
    <m/>
    <s v="900-IP-0605-2022"/>
    <s v="IP-"/>
    <m/>
    <m/>
    <m/>
    <m/>
    <m/>
    <x v="2"/>
    <s v="JUAN DAVID GOMEZ"/>
    <d v="2022-11-08T00:00:00"/>
    <n v="83"/>
    <n v="76"/>
    <m/>
    <s v="Entregado al area"/>
    <x v="1"/>
    <d v="2022-12-30T00:00:00"/>
    <m/>
    <d v="2022-12-30T00:00:00"/>
    <x v="14"/>
    <s v="Dec"/>
    <n v="59"/>
    <n v="52"/>
    <x v="2"/>
    <m/>
    <x v="353"/>
    <d v="2022-12-29T00:00:00"/>
    <n v="43673000"/>
    <s v="DC TECJNOLOGY SERVICES S.A.S EN REORGANIZACION "/>
    <s v="AB-2300003111"/>
    <n v="15220695"/>
    <m/>
    <m/>
    <m/>
    <m/>
    <m/>
    <m/>
    <m/>
    <m/>
    <n v="0.25844353966922945"/>
    <x v="1"/>
    <n v="1"/>
    <n v="43"/>
  </r>
  <r>
    <n v="559"/>
    <s v="0606"/>
    <x v="6"/>
    <d v="2022-11-01T00:00:00"/>
    <x v="11"/>
    <s v="GTI0054_x000a__x000a_GTI0009"/>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606-2022"/>
    <s v="IP-"/>
    <m/>
    <m/>
    <m/>
    <m/>
    <m/>
    <x v="2"/>
    <s v="PAOLA BELTRAN"/>
    <d v="2022-11-11T00:00:00"/>
    <e v="#VALUE!"/>
    <e v="#VALUE!"/>
    <m/>
    <s v="Cerrado"/>
    <x v="0"/>
    <d v="2022-11-30T00:00:00"/>
    <s v="En revisión de Jose Julian de FPA e Invitación desde el 21 de noviembre de 2022."/>
    <d v="2022-11-30T00:00:00"/>
    <x v="5"/>
    <s v="nov"/>
    <n v="29"/>
    <n v="19"/>
    <x v="3"/>
    <m/>
    <x v="0"/>
    <m/>
    <m/>
    <m/>
    <m/>
    <m/>
    <m/>
    <m/>
    <m/>
    <m/>
    <m/>
    <m/>
    <m/>
    <m/>
    <m/>
    <x v="1"/>
    <m/>
    <m/>
  </r>
  <r>
    <n v="560"/>
    <s v="0607"/>
    <x v="6"/>
    <d v="2022-11-03T00:00:00"/>
    <x v="11"/>
    <s v="GTI0209"/>
    <s v="FR-200-GTI-0139-2022"/>
    <m/>
    <s v="Servicio en la nube (SaaS) del software Autocad (Autocad full, Autocad LT)"/>
    <n v="199662655"/>
    <m/>
    <s v="900-IP-0607-2022"/>
    <s v="IP-"/>
    <m/>
    <m/>
    <m/>
    <m/>
    <m/>
    <x v="2"/>
    <s v="JULIO ERNESTO GARCIA"/>
    <d v="2022-11-08T00:00:00"/>
    <n v="81"/>
    <n v="76"/>
    <m/>
    <s v="Entregado al area"/>
    <x v="1"/>
    <d v="2022-12-30T00:00:00"/>
    <s v="Hoy viernes 11 de noviembre presentaban cotizaciones los proveedores pero el GTI amplió el presupuesto y se dio plazo hasta el martes 15 de noviembre para recibir cotizaciones"/>
    <d v="2022-12-30T00:00:00"/>
    <x v="14"/>
    <s v="Dec"/>
    <n v="57"/>
    <n v="52"/>
    <x v="2"/>
    <m/>
    <x v="354"/>
    <d v="2022-12-29T00:00:00"/>
    <n v="199662655"/>
    <s v="MCAD TRAINIG &amp; CONSULTING"/>
    <m/>
    <n v="0"/>
    <m/>
    <m/>
    <m/>
    <m/>
    <m/>
    <m/>
    <m/>
    <m/>
    <n v="0"/>
    <x v="1"/>
    <n v="1"/>
    <n v="41"/>
  </r>
  <r>
    <n v="561"/>
    <s v="0608"/>
    <x v="6"/>
    <d v="2022-11-03T00:00:00"/>
    <x v="11"/>
    <s v="GTI0194"/>
    <s v="FR-200-GTI-0112-2022"/>
    <m/>
    <s v="Adquisicion de equipos ofimatica y licencias de uso de sotfware: computadores de escritorio, computadores portatiles, workstation, workstation portatil, monitores. Discos duros, escanners, telefonos IP, video proyectores, impresoras validadoras, lectores manuales codigo de barras, thin client (terminales delegadas), licencias de uso de software microsotf office Standard y project profesional"/>
    <n v="3082804945"/>
    <m/>
    <s v="900-IPU-0608-2022"/>
    <s v="IPU"/>
    <m/>
    <m/>
    <m/>
    <m/>
    <m/>
    <x v="0"/>
    <s v="AYDEE OVALLE"/>
    <d v="2022-11-08T00:00:00"/>
    <e v="#VALUE!"/>
    <e v="#VALUE!"/>
    <m/>
    <s v="Cerrado"/>
    <x v="0"/>
    <d v="2022-11-24T00:00:00"/>
    <s v="PROCESO CERRADO MEDIANTE ACTA DE CIERRE DEL 24 DE NOVIEMBRE FIRMADA POR GERENTE ABASTECIMIENTO (E)"/>
    <d v="2022-11-24T00:00:00"/>
    <x v="5"/>
    <s v="nov"/>
    <n v="21"/>
    <n v="16"/>
    <x v="3"/>
    <m/>
    <x v="0"/>
    <m/>
    <m/>
    <m/>
    <m/>
    <m/>
    <m/>
    <m/>
    <m/>
    <m/>
    <m/>
    <m/>
    <m/>
    <m/>
    <m/>
    <x v="1"/>
    <m/>
    <m/>
  </r>
  <r>
    <n v="562"/>
    <s v="0609"/>
    <x v="2"/>
    <d v="2022-11-03T00:00:00"/>
    <x v="11"/>
    <s v="GAA0803"/>
    <s v="FR-300-GAA-0251-2022"/>
    <m/>
    <s v="Realizar la reparacion, mantenimeinto y puesta en funcionamiento de equipos y componentes criticos en estaciones de bombeo de aguas lluvias y residuales para mitigar riesgos en el servicio de bombeo asociados a la variabilidad climatica "/>
    <n v="500000000"/>
    <m/>
    <s v="900-IP-0609-2022"/>
    <s v="IP-"/>
    <m/>
    <m/>
    <m/>
    <m/>
    <m/>
    <x v="2"/>
    <s v="JHON LARRY CAICEDO"/>
    <d v="2022-11-08T00:00:00"/>
    <e v="#VALUE!"/>
    <e v="#VALUE!"/>
    <m/>
    <s v="Cerrado"/>
    <x v="0"/>
    <d v="2022-12-29T00:00:00"/>
    <s v="PRCESO CERRADO MEDIANTE ACTA DEL 28 DE DICIEMBRE "/>
    <d v="2022-12-30T00:00:00"/>
    <x v="5"/>
    <s v="dic"/>
    <n v="57"/>
    <n v="52"/>
    <x v="3"/>
    <m/>
    <x v="0"/>
    <m/>
    <m/>
    <m/>
    <m/>
    <m/>
    <m/>
    <m/>
    <m/>
    <m/>
    <m/>
    <m/>
    <m/>
    <m/>
    <m/>
    <x v="0"/>
    <m/>
    <m/>
  </r>
  <r>
    <n v="563"/>
    <s v="0610"/>
    <x v="2"/>
    <d v="2022-11-03T00:00:00"/>
    <x v="11"/>
    <s v="GAA0239"/>
    <s v="FR-300-GAA-0256-2022"/>
    <s v="300-CMA-1974-2020"/>
    <s v="Suministro de materiales y activos no financieros, para las plantas de potabilizacion de EMCALI E.I.C.E. E.P.S"/>
    <n v="95655069"/>
    <m/>
    <m/>
    <s v=""/>
    <m/>
    <m/>
    <m/>
    <m/>
    <m/>
    <x v="3"/>
    <s v="LUCY ARBELAEZ"/>
    <d v="2022-11-08T00:00:00"/>
    <e v="#VALUE!"/>
    <e v="#VALUE!"/>
    <s v="NO"/>
    <s v="Devuelto"/>
    <x v="2"/>
    <d v="2022-11-15T00:00:00"/>
    <s v="COMITE UNIDAD DE PRODUCCION JUAN PABLO GUTIERREZ LIBERÓ LOS RECURSOS DE ESTE PROCESO, NO HAY DISPONIBILIDAD $$$"/>
    <d v="2022-11-15T00:00:00"/>
    <x v="5"/>
    <s v="nov"/>
    <n v="12"/>
    <n v="7"/>
    <x v="3"/>
    <m/>
    <x v="0"/>
    <m/>
    <m/>
    <m/>
    <m/>
    <m/>
    <m/>
    <m/>
    <m/>
    <m/>
    <m/>
    <m/>
    <m/>
    <m/>
    <m/>
    <x v="0"/>
    <m/>
    <m/>
  </r>
  <r>
    <n v="564"/>
    <s v="0611"/>
    <x v="8"/>
    <d v="2022-11-04T00:00:00"/>
    <x v="11"/>
    <s v="GF0086"/>
    <s v="FR-700-GF-0080-2022"/>
    <m/>
    <s v="Prestar el servicio de mensajeria expresa masiva e individual para la recoleccion, clasificacion,transporte y entrega certificada de comunicaciones oficiales y demas documentos y envios que requieran EMCALI en la ciudad de cali, su area de influencia y en aquellos municipios o lugares donde EMCALI lo requieran, a nivel local (urbano y rural), regional nacional e internacional"/>
    <n v="3521229000"/>
    <m/>
    <m/>
    <s v=""/>
    <m/>
    <m/>
    <m/>
    <m/>
    <m/>
    <x v="3"/>
    <s v="LEIDY DIANA FRANCO"/>
    <d v="2022-11-09T00:00:00"/>
    <e v="#VALUE!"/>
    <e v="#VALUE!"/>
    <s v="NO"/>
    <s v="Devuelto"/>
    <x v="2"/>
    <m/>
    <m/>
    <d v="2022-11-04T00:00:00"/>
    <x v="5"/>
    <s v="nov"/>
    <n v="0"/>
    <n v="-5"/>
    <x v="3"/>
    <m/>
    <x v="0"/>
    <m/>
    <m/>
    <m/>
    <m/>
    <m/>
    <m/>
    <m/>
    <m/>
    <m/>
    <m/>
    <m/>
    <m/>
    <m/>
    <m/>
    <x v="1"/>
    <m/>
    <m/>
  </r>
  <r>
    <n v="565"/>
    <s v="0612"/>
    <x v="3"/>
    <d v="2022-11-04T00:00:00"/>
    <x v="11"/>
    <s v="GT0235"/>
    <s v="FR-400-GT-0187-2022"/>
    <m/>
    <s v="Compra de equipos terminales (Access Point) para permitir la conectividad de internet a instituciones educativas y demás clientes corporativos que requieran puntos de acceso"/>
    <n v="478845428"/>
    <m/>
    <s v="900-IP-0612 -2022"/>
    <s v="IP-"/>
    <m/>
    <m/>
    <m/>
    <m/>
    <m/>
    <x v="2"/>
    <s v="JULIO ERNESTO GARCIA"/>
    <d v="2022-11-09T00:00:00"/>
    <e v="#VALUE!"/>
    <e v="#VALUE!"/>
    <m/>
    <s v="Devuelto"/>
    <x v="2"/>
    <d v="2022-12-26T00:00:00"/>
    <s v="El martes 15 de noviembre presentan cotizaciones los proveedores_x000a_24-11-2022, EL 17 DE NOVIEMBRE SE PASO PARA REVISION Y FIRMA DE ASESORES GAE._x000a_16-12-2022, esperando respuesta de area desde el 1 de diciembre sobre requisito de idoneidad"/>
    <d v="2022-12-26T00:00:00"/>
    <x v="5"/>
    <s v="dic"/>
    <n v="52"/>
    <n v="47"/>
    <x v="3"/>
    <m/>
    <x v="0"/>
    <m/>
    <m/>
    <m/>
    <m/>
    <m/>
    <m/>
    <m/>
    <m/>
    <m/>
    <m/>
    <m/>
    <m/>
    <m/>
    <m/>
    <x v="1"/>
    <m/>
    <m/>
  </r>
  <r>
    <n v="566"/>
    <s v="0613"/>
    <x v="3"/>
    <d v="2022-11-04T00:00:00"/>
    <x v="11"/>
    <s v="GT0173"/>
    <s v="FR-400-GT-0205-2022"/>
    <m/>
    <s v="Soporte y Mantenimiento de alimentación DC (Potencia) de las UPS´s de San Fernando y Limonar de la UENTIC de EMCALI EICE ESP"/>
    <n v="115852936"/>
    <m/>
    <s v="900-IP-0613-2022"/>
    <s v="IP-"/>
    <m/>
    <m/>
    <m/>
    <m/>
    <m/>
    <x v="2"/>
    <s v="ANA MARIA GIL"/>
    <d v="2022-11-09T00:00:00"/>
    <e v="#VALUE!"/>
    <e v="#VALUE!"/>
    <m/>
    <s v="Cerrado"/>
    <x v="0"/>
    <d v="2022-12-22T00:00:00"/>
    <s v="PROCESO CERRADO MEDIANTE ACTA DE CIERRE DEL 22 DE DICIEMBRE FIRMADA POR GERENTE ABASTECIMIENTO (E)"/>
    <d v="2022-12-22T00:00:00"/>
    <x v="5"/>
    <s v="dic"/>
    <n v="48"/>
    <n v="43"/>
    <x v="3"/>
    <m/>
    <x v="0"/>
    <m/>
    <m/>
    <m/>
    <m/>
    <m/>
    <m/>
    <m/>
    <m/>
    <m/>
    <m/>
    <m/>
    <m/>
    <m/>
    <m/>
    <x v="1"/>
    <m/>
    <m/>
  </r>
  <r>
    <n v="567"/>
    <s v="0614"/>
    <x v="3"/>
    <d v="2022-11-04T00:00:00"/>
    <x v="11"/>
    <s v="GT0138_x000a_GT0138_x000a_GT0201"/>
    <s v="FR-400-GT-0156-2022"/>
    <m/>
    <s v="Dotación de componentes especializados para el mantenimiento de redes de acceso en fibra óptica, para el personal de la GUENTIC"/>
    <n v="346526416"/>
    <m/>
    <s v="900-IP-0614-2022"/>
    <s v="IP-"/>
    <m/>
    <m/>
    <m/>
    <m/>
    <m/>
    <x v="2"/>
    <s v="CARLOS RODRIGUEZ"/>
    <d v="2022-12-16T00:00:00"/>
    <e v="#VALUE!"/>
    <e v="#VALUE!"/>
    <m/>
    <s v="Cerrado"/>
    <x v="0"/>
    <d v="2022-12-30T00:00:00"/>
    <m/>
    <d v="2022-12-30T00:00:00"/>
    <x v="5"/>
    <s v="dic"/>
    <n v="56"/>
    <n v="14"/>
    <x v="3"/>
    <m/>
    <x v="0"/>
    <m/>
    <m/>
    <m/>
    <m/>
    <m/>
    <m/>
    <m/>
    <m/>
    <m/>
    <m/>
    <m/>
    <m/>
    <m/>
    <m/>
    <x v="1"/>
    <m/>
    <m/>
  </r>
  <r>
    <n v="568"/>
    <s v="0615"/>
    <x v="3"/>
    <d v="2022-11-04T00:00:00"/>
    <x v="11"/>
    <s v="GT0143"/>
    <s v="FR-400-GT-0194-2022"/>
    <m/>
    <s v="Suministro de Repuestos e insumos para equipos de climatización de Telecomunicaciones de EMCALI"/>
    <n v="146064884"/>
    <m/>
    <s v="900-IP-0615-2022"/>
    <s v="IP-"/>
    <m/>
    <m/>
    <m/>
    <m/>
    <m/>
    <x v="2"/>
    <s v="CAMILO NUÑEZ"/>
    <d v="2022-11-09T00:00:00"/>
    <e v="#VALUE!"/>
    <e v="#VALUE!"/>
    <m/>
    <s v="Cerrado"/>
    <x v="0"/>
    <d v="2022-12-30T00:00:00"/>
    <s v="24-11-2022, PROCESO EN ELABORACION DE FPA E INVITACION, NO SE PASA AUN A REVISION POR ESPERA DE CDP AJUSTADO A SAP. JESUS PASTRANA SE ENCUENTRA TRAMITANDO ESTE DOCUMENTO_x000a_30-11-2022, PASA AL ASESOR GAE "/>
    <d v="2022-12-30T00:00:00"/>
    <x v="5"/>
    <s v="dic"/>
    <n v="56"/>
    <n v="51"/>
    <x v="3"/>
    <m/>
    <x v="0"/>
    <m/>
    <m/>
    <m/>
    <m/>
    <m/>
    <m/>
    <m/>
    <m/>
    <m/>
    <m/>
    <m/>
    <m/>
    <m/>
    <m/>
    <x v="1"/>
    <m/>
    <m/>
  </r>
  <r>
    <n v="569"/>
    <s v="0616"/>
    <x v="3"/>
    <d v="2022-11-04T00:00:00"/>
    <x v="11"/>
    <s v="GT0252"/>
    <s v="FR-400-GT-0209-2022"/>
    <m/>
    <s v="Suministro, implementacion e instalacion de una solucion WIFI con equipos access point outdoor ruckus, con portal cautivo en nueve pantallas en boulevard del rio cali, lo que permita la conectividad al internet de los usuarios de dicho sitio turistico"/>
    <n v="460000009"/>
    <m/>
    <s v="900-IP-0616-2022"/>
    <s v="IP-"/>
    <m/>
    <m/>
    <m/>
    <m/>
    <m/>
    <x v="2"/>
    <s v="CARLOS RODRIGUEZ"/>
    <d v="2022-12-16T00:00:00"/>
    <e v="#VALUE!"/>
    <e v="#VALUE!"/>
    <m/>
    <s v="Cerrado"/>
    <x v="0"/>
    <d v="2022-12-30T00:00:00"/>
    <m/>
    <d v="2022-12-30T00:00:00"/>
    <x v="5"/>
    <s v="dic"/>
    <n v="56"/>
    <n v="14"/>
    <x v="3"/>
    <m/>
    <x v="0"/>
    <m/>
    <m/>
    <m/>
    <m/>
    <m/>
    <m/>
    <m/>
    <m/>
    <m/>
    <m/>
    <m/>
    <m/>
    <m/>
    <m/>
    <x v="1"/>
    <m/>
    <m/>
  </r>
  <r>
    <n v="570"/>
    <s v="0617"/>
    <x v="1"/>
    <d v="2022-11-04T00:00:00"/>
    <x v="11"/>
    <s v="GE0375"/>
    <s v="FR-500-GE-0247-2022"/>
    <m/>
    <s v="Calibracion equipo medidor de multiparametros "/>
    <n v="892500"/>
    <m/>
    <s v="900-IP-0617-2022"/>
    <s v="IP-"/>
    <m/>
    <m/>
    <m/>
    <m/>
    <m/>
    <x v="2"/>
    <s v="IVAN ALDANA"/>
    <d v="2022-11-09T00:00:00"/>
    <e v="#VALUE!"/>
    <e v="#VALUE!"/>
    <m/>
    <s v="Cerrado"/>
    <x v="0"/>
    <d v="2022-12-30T00:00:00"/>
    <s v="30-11-2022, SE PIDIO SEGUNDA COTIZACION Y REGISTRAR EN REGISTRO PROVEEDOR."/>
    <d v="2022-12-30T00:00:00"/>
    <x v="5"/>
    <s v="dic"/>
    <n v="56"/>
    <n v="51"/>
    <x v="3"/>
    <m/>
    <x v="0"/>
    <m/>
    <m/>
    <m/>
    <m/>
    <m/>
    <m/>
    <m/>
    <m/>
    <m/>
    <m/>
    <m/>
    <m/>
    <m/>
    <m/>
    <x v="0"/>
    <m/>
    <m/>
  </r>
  <r>
    <n v="571"/>
    <s v="0618"/>
    <x v="1"/>
    <d v="2022-11-04T00:00:00"/>
    <x v="11"/>
    <s v="GE0187"/>
    <s v="FR-500-GE-0266-2022"/>
    <m/>
    <s v="Prueba de rigidez dielectrica para vehiculo tipo canasta"/>
    <n v="33891200"/>
    <m/>
    <s v="900-IP-0618-2022"/>
    <s v="IP-"/>
    <m/>
    <m/>
    <m/>
    <m/>
    <m/>
    <x v="2"/>
    <s v="MARIA CAMILA OLIVEROS"/>
    <d v="2022-11-09T00:00:00"/>
    <n v="80"/>
    <n v="75"/>
    <m/>
    <s v="Entregado al area"/>
    <x v="1"/>
    <d v="2022-12-30T00:00:00"/>
    <m/>
    <d v="2022-12-30T00:00:00"/>
    <x v="14"/>
    <s v="Dec"/>
    <n v="56"/>
    <n v="51"/>
    <x v="2"/>
    <m/>
    <x v="355"/>
    <d v="2022-12-23T00:00:00"/>
    <n v="33891200"/>
    <s v="EPRING S.A.S"/>
    <s v="AB-2300003092"/>
    <n v="0"/>
    <m/>
    <m/>
    <m/>
    <m/>
    <m/>
    <m/>
    <m/>
    <m/>
    <n v="0"/>
    <x v="0"/>
    <n v="1"/>
    <n v="40"/>
  </r>
  <r>
    <n v="572"/>
    <s v="0619"/>
    <x v="1"/>
    <d v="2022-11-08T00:00:00"/>
    <x v="11"/>
    <s v="GE0215_x000a_GE0222_x000a_GE0229_x000a_GE0312"/>
    <s v="FR-500-GE-0199-2022"/>
    <m/>
    <s v="Suministro de materiales y elementos de proteccion electrica para ser instalados en redes de distribucion "/>
    <n v="126976393"/>
    <m/>
    <s v="900-IP-0619-2022"/>
    <s v="IP-"/>
    <m/>
    <m/>
    <m/>
    <m/>
    <m/>
    <x v="2"/>
    <s v="ANA MARIA GIL"/>
    <d v="2022-11-09T00:00:00"/>
    <n v="76"/>
    <n v="75"/>
    <m/>
    <s v="Entregado al area"/>
    <x v="1"/>
    <d v="2022-12-30T00:00:00"/>
    <m/>
    <d v="2022-12-29T00:00:00"/>
    <x v="14"/>
    <s v="Dec"/>
    <n v="51"/>
    <n v="50"/>
    <x v="2"/>
    <m/>
    <x v="356"/>
    <d v="2022-12-27T00:00:00"/>
    <n v="126965610"/>
    <s v="AGWA S.A.S"/>
    <s v="AB-2300003107"/>
    <n v="10783"/>
    <m/>
    <m/>
    <m/>
    <m/>
    <m/>
    <m/>
    <m/>
    <m/>
    <n v="8.4921297142217606E-5"/>
    <x v="0"/>
    <n v="1"/>
    <n v="37"/>
  </r>
  <r>
    <n v="573"/>
    <s v="0620"/>
    <x v="1"/>
    <d v="2022-11-08T00:00:00"/>
    <x v="11"/>
    <s v="GE0321_x000a_GE0327"/>
    <s v="FR-500-GE-0276-2022"/>
    <m/>
    <s v="Suministro de materiales y elementos de proteccion electrica para ser instalados en redes y subestaciones de energia "/>
    <n v="156215465"/>
    <m/>
    <s v="900-IP-0620-2022"/>
    <s v="IP-"/>
    <m/>
    <m/>
    <m/>
    <m/>
    <m/>
    <x v="2"/>
    <s v="PAOLA BELTRAN"/>
    <d v="2022-11-09T00:00:00"/>
    <n v="76"/>
    <n v="75"/>
    <m/>
    <s v="Entregado al area"/>
    <x v="1"/>
    <d v="2022-12-22T00:00:00"/>
    <s v="Se envío Invitación A ofertar al proveedor el 23 de noviembre de 2022, com plazo de entrega de la oferta el 28 de noviembre de 2022."/>
    <d v="2022-12-22T00:00:00"/>
    <x v="14"/>
    <s v="Dec"/>
    <n v="44"/>
    <n v="43"/>
    <x v="2"/>
    <m/>
    <x v="357"/>
    <d v="2022-12-07T00:00:00"/>
    <n v="154344785"/>
    <s v="METALICAS Y ELECTRICAS MELEC S.A"/>
    <s v="PY-2270000324"/>
    <n v="1870680"/>
    <m/>
    <m/>
    <m/>
    <m/>
    <m/>
    <m/>
    <m/>
    <m/>
    <n v="1.1974998762126401E-2"/>
    <x v="0"/>
    <n v="1"/>
    <n v="32"/>
  </r>
  <r>
    <n v="574"/>
    <s v="0621"/>
    <x v="2"/>
    <d v="2022-11-08T00:00:00"/>
    <x v="11"/>
    <s v="PRECALIF"/>
    <s v="FR-300-GAA-0259-2022"/>
    <m/>
    <s v="Realizar la conformacion de sectores hidraulicos en la red baja oriental del sis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5"/>
    <s v="0622"/>
    <x v="2"/>
    <d v="2022-11-08T00:00:00"/>
    <x v="11"/>
    <s v="PRECALIF"/>
    <s v="FR-300-GAA-0258-2022"/>
    <m/>
    <s v="Realizar la interventoria tecnica, administrativa,financiera,contable y juridica del contrato que ejecutara la conformacion de sectores hidraulicos en la red baja oriental del sitema de distribucion de agua potable de la ciudad de santiago de cali "/>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6"/>
    <s v="0623"/>
    <x v="2"/>
    <d v="2022-11-08T00:00:00"/>
    <x v="11"/>
    <s v="PRECALIF"/>
    <s v="FR-300-GAA-0261-2022"/>
    <m/>
    <s v="Optimización de la estacion de bombeo de aguas lluvias paso del comercio- pas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7"/>
    <s v="0624"/>
    <x v="2"/>
    <d v="2022-11-08T00:00:00"/>
    <x v="11"/>
    <s v="PRECALIF"/>
    <s v="FR-300-GAA-0260-2022"/>
    <m/>
    <s v="Interventoria para el suministro,montaje,instalacion,pruebas,calibracion y puesta en funcionamiento de equipos, elementos y demas infraestructura requerida para la estacion de bombeo de paso del comercio IV"/>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8"/>
    <s v="0625"/>
    <x v="2"/>
    <d v="2022-11-08T00:00:00"/>
    <x v="11"/>
    <s v="PRECALIF"/>
    <s v="FR-300-GAA-0262-2022"/>
    <m/>
    <s v="Interventoria construccion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79"/>
    <s v="0626"/>
    <x v="2"/>
    <d v="2022-11-08T00:00:00"/>
    <x v="11"/>
    <s v="PRECALIF"/>
    <s v="FR-300-GAA-0263-2022"/>
    <m/>
    <s v="Construccion de nueva linea de aduccion planta de acueducto rio cali (b. san antonio ) en el distrito especial santiago de cali"/>
    <n v="0"/>
    <m/>
    <m/>
    <s v=""/>
    <m/>
    <m/>
    <m/>
    <m/>
    <m/>
    <x v="3"/>
    <s v="HAROLD MONDRAGON"/>
    <d v="2022-11-09T00:00:00"/>
    <e v="#VALUE!"/>
    <e v="#VALUE!"/>
    <m/>
    <s v="ELABORACION OFICIO DEVOLUCION "/>
    <x v="2"/>
    <d v="2022-11-30T00:00:00"/>
    <s v="POR INSTRUCCIÓN ASESORES GERENCIA GENERAL PROCESOS QUE NO SE VAN A TRAMITAR HASTA QUE AREA ENTREGUE VF, PROCESOS PARA DEVOLUCION AL AEREA"/>
    <d v="2022-11-30T00:00:00"/>
    <x v="5"/>
    <s v="nov"/>
    <n v="22"/>
    <n v="21"/>
    <x v="3"/>
    <m/>
    <x v="0"/>
    <m/>
    <m/>
    <m/>
    <m/>
    <m/>
    <m/>
    <m/>
    <m/>
    <m/>
    <m/>
    <m/>
    <m/>
    <m/>
    <m/>
    <x v="0"/>
    <m/>
    <m/>
  </r>
  <r>
    <n v="580"/>
    <s v="0627"/>
    <x v="5"/>
    <d v="2022-11-11T00:00:00"/>
    <x v="11"/>
    <s v="GHA0078_x000a_GHA0193"/>
    <s v="FR-800-GHA-0202-2022"/>
    <s v="800-CMA-1925-2021"/>
    <s v="Realizar las actividades para llevar a cabo las adecuaciones locativas y mantenimiento preventivos y correctivos en las sedes pertenecientes al corporativo de EMCALI- CAM TORRE EMCALI"/>
    <s v=" $           356.999.000,00"/>
    <m/>
    <s v="N/A"/>
    <s v=""/>
    <m/>
    <m/>
    <m/>
    <m/>
    <m/>
    <x v="3"/>
    <s v="FRANCIA RAMÍREZ"/>
    <d v="2022-11-11T00:00:00"/>
    <e v="#VALUE!"/>
    <e v="#VALUE!"/>
    <m/>
    <s v="Cerrado"/>
    <x v="0"/>
    <d v="2022-12-16T00:00:00"/>
    <s v="ESTA EN EVALUACION DE ITEMS NUEVOS _x000a_16-12-2022-PROCESO CERRADO MEDIANTE ACTA DEL 14 DE DICIEMBRE "/>
    <d v="2022-12-16T00:00:00"/>
    <x v="5"/>
    <s v="dic"/>
    <n v="35"/>
    <n v="35"/>
    <x v="3"/>
    <m/>
    <x v="0"/>
    <m/>
    <m/>
    <m/>
    <m/>
    <m/>
    <m/>
    <m/>
    <m/>
    <m/>
    <m/>
    <m/>
    <m/>
    <m/>
    <m/>
    <x v="1"/>
    <m/>
    <m/>
  </r>
  <r>
    <n v="581"/>
    <s v="0628"/>
    <x v="3"/>
    <d v="2022-11-16T00:00:00"/>
    <x v="11"/>
    <s v="GT0251"/>
    <s v="FR-400-GT-0208-2022"/>
    <m/>
    <s v="Suministro de Terminales Ópticos ONT para la instalación de servicios en los clientes a tráves de la expansión de proyectos de FTTH (fibra hasta la casa) de EMCALI."/>
    <s v=" $       6.770.243.200,00"/>
    <m/>
    <s v="900-IP-0628-2022"/>
    <s v="IP-"/>
    <m/>
    <m/>
    <m/>
    <m/>
    <m/>
    <x v="2"/>
    <s v="JHON LARRY CAICEDO"/>
    <d v="2022-11-16T00:00:00"/>
    <e v="#VALUE!"/>
    <e v="#VALUE!"/>
    <m/>
    <s v="Devuelto"/>
    <x v="2"/>
    <d v="2022-11-30T00:00:00"/>
    <s v="SE DEVUELVE AL AREA PORQUE NO SE PUEDE REALIZAR POR IP Y POR TIEMPO NO SE PUEDE IPU"/>
    <d v="2022-11-30T00:00:00"/>
    <x v="5"/>
    <s v="nov"/>
    <n v="14"/>
    <n v="14"/>
    <x v="3"/>
    <m/>
    <x v="0"/>
    <m/>
    <m/>
    <m/>
    <m/>
    <m/>
    <m/>
    <m/>
    <m/>
    <m/>
    <m/>
    <m/>
    <m/>
    <m/>
    <m/>
    <x v="1"/>
    <m/>
    <m/>
  </r>
  <r>
    <n v="582"/>
    <s v="0629"/>
    <x v="3"/>
    <d v="2022-11-16T00:00:00"/>
    <x v="11"/>
    <s v="GT0134"/>
    <s v="FR-400-GT-0162-2022"/>
    <m/>
    <s v="Suministros Plataforma de Control Softswitch clase 4 y clase 5 y SBC para la GUENTIC"/>
    <s v=" $       1.500.000.000,00"/>
    <m/>
    <m/>
    <s v=""/>
    <m/>
    <m/>
    <m/>
    <m/>
    <m/>
    <x v="3"/>
    <s v="LEIDY DIANA FRANCO"/>
    <d v="2022-11-16T00:00:00"/>
    <e v="#VALUE!"/>
    <e v="#VALUE!"/>
    <m/>
    <s v="Devuelto"/>
    <x v="2"/>
    <d v="2022-11-30T00:00:00"/>
    <m/>
    <d v="2022-11-30T00:00:00"/>
    <x v="5"/>
    <s v="nov"/>
    <n v="14"/>
    <n v="14"/>
    <x v="3"/>
    <m/>
    <x v="0"/>
    <m/>
    <m/>
    <m/>
    <m/>
    <m/>
    <m/>
    <m/>
    <m/>
    <m/>
    <m/>
    <m/>
    <m/>
    <m/>
    <m/>
    <x v="1"/>
    <m/>
    <m/>
  </r>
  <r>
    <n v="583"/>
    <s v="0630"/>
    <x v="5"/>
    <d v="2022-11-18T00:00:00"/>
    <x v="11"/>
    <s v="GHA0286"/>
    <s v="FR-800-GHA-0203-2022"/>
    <m/>
    <s v="Realizar la Inspección de ocho (8) ascensores utilizados por EMCALI para el transporte "/>
    <n v="4311570"/>
    <m/>
    <s v="900-IP-0630-2022"/>
    <s v="IP-"/>
    <m/>
    <m/>
    <m/>
    <m/>
    <m/>
    <x v="2"/>
    <s v="JULIO ERAZO"/>
    <d v="2022-11-18T00:00:00"/>
    <n v="66"/>
    <n v="66"/>
    <m/>
    <s v="Entregado al area"/>
    <x v="1"/>
    <d v="2022-12-28T00:00:00"/>
    <m/>
    <d v="2022-12-28T00:00:00"/>
    <x v="14"/>
    <s v="Dec"/>
    <n v="40"/>
    <n v="40"/>
    <x v="2"/>
    <m/>
    <x v="358"/>
    <d v="2022-12-16T00:00:00"/>
    <n v="3891300"/>
    <s v="SERVIMETERS S.A.S"/>
    <s v="PM-2100000111"/>
    <n v="420270"/>
    <m/>
    <m/>
    <m/>
    <m/>
    <m/>
    <m/>
    <m/>
    <m/>
    <n v="9.747493372483805E-2"/>
    <x v="1"/>
    <n v="1"/>
    <n v="28"/>
  </r>
  <r>
    <n v="584"/>
    <s v="0631"/>
    <x v="2"/>
    <d v="2022-11-21T00:00:00"/>
    <x v="11"/>
    <s v="GAA0808"/>
    <s v="FR-300-GAA-0264-2022"/>
    <m/>
    <s v="Atender y reparar en el menor tiempo posible los daños localizdos y detectados en las redes matrices, con tuberias &gt; a 12 &quot; del sistema de distribucion de acueducto en las areas de cobertura de EMCALI EICE EPS"/>
    <n v="2990000000"/>
    <m/>
    <m/>
    <s v=""/>
    <m/>
    <m/>
    <m/>
    <m/>
    <m/>
    <x v="3"/>
    <s v="HAROLD MONDRAGON"/>
    <d v="2022-11-21T00:00:00"/>
    <e v="#VALUE!"/>
    <e v="#VALUE!"/>
    <m/>
    <s v="ELABORACION OFICIO DEVOLUCION "/>
    <x v="2"/>
    <d v="2022-11-30T00:00:00"/>
    <m/>
    <d v="2022-11-30T00:00:00"/>
    <x v="5"/>
    <s v="nov"/>
    <n v="9"/>
    <n v="9"/>
    <x v="3"/>
    <m/>
    <x v="0"/>
    <m/>
    <m/>
    <m/>
    <m/>
    <m/>
    <m/>
    <m/>
    <m/>
    <m/>
    <m/>
    <m/>
    <m/>
    <m/>
    <m/>
    <x v="0"/>
    <m/>
    <m/>
  </r>
  <r>
    <n v="585"/>
    <s v="0632"/>
    <x v="2"/>
    <d v="2022-11-21T00:00:00"/>
    <x v="11"/>
    <s v="GAA0814"/>
    <s v="FR-300-GAA-0265-2022"/>
    <m/>
    <s v="Reparacion losas canal carrera 39 entre calles 12b y 13"/>
    <n v="492050342"/>
    <m/>
    <s v="900-IP-0632-2022"/>
    <s v="IP-"/>
    <m/>
    <m/>
    <m/>
    <m/>
    <m/>
    <x v="2"/>
    <s v="LINA ECHAVARRIA"/>
    <d v="2022-11-21T00:00:00"/>
    <n v="63"/>
    <n v="63"/>
    <m/>
    <s v="Entregado al area"/>
    <x v="1"/>
    <d v="2022-12-22T00:00:00"/>
    <s v="30.11.2022 Se paso FPA e invitación para revision de Sarha"/>
    <d v="2022-12-21T00:00:00"/>
    <x v="14"/>
    <s v="Dec"/>
    <n v="30"/>
    <n v="30"/>
    <x v="2"/>
    <m/>
    <x v="359"/>
    <d v="2022-12-16T00:00:00"/>
    <n v="455773714"/>
    <s v="ALVARO LAZARON DEL VALLE "/>
    <s v="GD2050000208"/>
    <n v="36276628"/>
    <m/>
    <m/>
    <m/>
    <m/>
    <m/>
    <m/>
    <m/>
    <m/>
    <n v="7.3725440068894407E-2"/>
    <x v="0"/>
    <n v="1"/>
    <n v="22"/>
  </r>
  <r>
    <n v="586"/>
    <s v="0633"/>
    <x v="2"/>
    <d v="2022-11-21T00:00:00"/>
    <x v="11"/>
    <s v="GAA0813"/>
    <s v="FR-300-GAA-0266-2022"/>
    <s v="500-CMA-1743-2021"/>
    <s v="SUMINISTRO CABLES PTAP"/>
    <n v="449808029"/>
    <m/>
    <s v="N/A"/>
    <s v=""/>
    <m/>
    <m/>
    <m/>
    <m/>
    <m/>
    <x v="3"/>
    <s v="ADALBERTO VALENCIA"/>
    <d v="2022-11-21T00:00:00"/>
    <e v="#VALUE!"/>
    <e v="#VALUE!"/>
    <m/>
    <s v="Cerrado"/>
    <x v="0"/>
    <d v="2022-12-23T00:00:00"/>
    <s v="EMCALI a través de la Gerencia de Abastecimiento Empresarial, se permite comunicar el CIERRE del proceso de invitación a presentar descuento derivado del contrato Marco No. 500-CMA-1743-2021/AO-017-2022, conforme a lo establecido en el artículo 42 del Manual de Contratación de EMCALI."/>
    <d v="2022-12-22T00:00:00"/>
    <x v="5"/>
    <s v="dic"/>
    <n v="31"/>
    <n v="31"/>
    <x v="3"/>
    <m/>
    <x v="0"/>
    <m/>
    <m/>
    <m/>
    <m/>
    <m/>
    <m/>
    <m/>
    <m/>
    <m/>
    <m/>
    <m/>
    <m/>
    <m/>
    <m/>
    <x v="0"/>
    <m/>
    <m/>
  </r>
  <r>
    <n v="587"/>
    <s v="0634"/>
    <x v="8"/>
    <d v="2022-11-23T00:00:00"/>
    <x v="11"/>
    <s v="GF0086"/>
    <s v="FR-700-080-2022"/>
    <m/>
    <s v="PRESTAR EL SERVICIO DE MENSAJERIA EXPRESA MASIVA E INDIVIDUAL PARA LA RECOLECCION, CLASIFICACION, TRANSPORTE Y ENTEREGA CERTIFICADA DE COMUNICACIONES OFICIALES Y DEMAS DOCUMENTOS Y ENVIOS QUE REQUIERA EMCALI, EN LA CIUDAD DE CALI,SU AREA DE INFLUENCIA Y EN AQUELLOS MUNICIPIOS O LUGARES DONDE EMCALI LO REQUIERA, A NIVEL LOCAL (URBANO Y RURAL) REGIONAL , NACIONAL E INTERNACIONAL"/>
    <n v="3521229000"/>
    <m/>
    <m/>
    <s v=""/>
    <m/>
    <m/>
    <m/>
    <m/>
    <m/>
    <x v="3"/>
    <s v="LEIDY DIANA FRANCO"/>
    <d v="2022-11-23T00:00:00"/>
    <e v="#VALUE!"/>
    <e v="#VALUE!"/>
    <m/>
    <s v="Devuelto"/>
    <x v="2"/>
    <d v="2022-11-30T00:00:00"/>
    <s v="SE DEVUELVE AL AREA POR CORREO ELECTRONICO DE SANTIAGO ECHEVERRI INDICANDO QUE POR INSTRUCCIONES DADAS SE REALIZARA CONVENIO INTER ADMINISTRATIVO POR SECRETARIA GENERAL "/>
    <d v="2022-11-30T00:00:00"/>
    <x v="5"/>
    <s v="nov"/>
    <n v="7"/>
    <n v="7"/>
    <x v="3"/>
    <m/>
    <x v="0"/>
    <m/>
    <m/>
    <m/>
    <m/>
    <m/>
    <m/>
    <m/>
    <m/>
    <m/>
    <m/>
    <m/>
    <m/>
    <m/>
    <m/>
    <x v="1"/>
    <m/>
    <m/>
  </r>
  <r>
    <n v="588"/>
    <s v="0635"/>
    <x v="5"/>
    <d v="2022-11-25T00:00:00"/>
    <x v="11"/>
    <s v="GHA0288"/>
    <s v="FR-800-GHA-0214-2022"/>
    <m/>
    <s v="Realizar la compra de tres (3) equipos de presión-succión para la Unidad de Recolección de la UENAA"/>
    <n v="10796018522"/>
    <m/>
    <s v="900-IP-0635-2022"/>
    <s v="IP-"/>
    <m/>
    <m/>
    <m/>
    <m/>
    <m/>
    <x v="2"/>
    <s v="PAOLA BELTRAN"/>
    <d v="2022-11-25T00:00:00"/>
    <e v="#VALUE!"/>
    <e v="#VALUE!"/>
    <m/>
    <s v="Devuelto"/>
    <x v="2"/>
    <d v="2022-12-30T00:00:00"/>
    <s v="Se elaboró FPA e INVIACIÓN, pero de acuerdo a instrucciones de jefatura se va a tramitar este año el proceso IP-0640-2022 _x000a_30-12-2022, Devolución de Requerimiento FR-800-214-2022 mediante memorando de fecha 22 de noviembre de 2022 con objeto: Realizar la compra de tres (3) equipos de presión-succión para la Unidad de Recolección de la UENAA.”, el cual se derivo de tres proceso 900-IP-635-2022, 900-IP640-2022 Y 900-IP-641-2022., Por motivos, de tiempos de plazo de ejecución dado que dentro de los mencionados procesos se requeria anticipos"/>
    <d v="2022-12-22T00:00:00"/>
    <x v="5"/>
    <s v="dic"/>
    <n v="27"/>
    <n v="27"/>
    <x v="3"/>
    <m/>
    <x v="0"/>
    <m/>
    <m/>
    <m/>
    <m/>
    <m/>
    <m/>
    <m/>
    <m/>
    <m/>
    <m/>
    <m/>
    <m/>
    <m/>
    <m/>
    <x v="1"/>
    <m/>
    <m/>
  </r>
  <r>
    <n v="589"/>
    <s v="0636"/>
    <x v="1"/>
    <d v="2022-11-23T00:00:00"/>
    <x v="11"/>
    <s v="GE0388"/>
    <s v="FR-500-GE-0254-2022"/>
    <m/>
    <s v="Mantenimiento preventivo a compresores de aire"/>
    <n v="1116220"/>
    <m/>
    <s v="900-IP-0636-2022"/>
    <s v="IP-"/>
    <m/>
    <m/>
    <m/>
    <m/>
    <m/>
    <x v="2"/>
    <s v="CAMILO NUÑEZ"/>
    <d v="2022-11-28T00:00:00"/>
    <e v="#VALUE!"/>
    <e v="#VALUE!"/>
    <m/>
    <s v="Cerrado"/>
    <x v="0"/>
    <d v="2022-12-30T00:00:00"/>
    <m/>
    <d v="2022-12-30T00:00:00"/>
    <x v="5"/>
    <s v="dic"/>
    <n v="37"/>
    <n v="32"/>
    <x v="3"/>
    <m/>
    <x v="0"/>
    <m/>
    <m/>
    <m/>
    <m/>
    <m/>
    <m/>
    <m/>
    <m/>
    <m/>
    <m/>
    <m/>
    <m/>
    <m/>
    <m/>
    <x v="0"/>
    <m/>
    <m/>
  </r>
  <r>
    <n v="590"/>
    <s v="0637"/>
    <x v="1"/>
    <d v="2022-11-23T00:00:00"/>
    <x v="11"/>
    <s v="GE0387"/>
    <s v="FR-500-GE-0255-2022"/>
    <m/>
    <s v="Mantenimiento preventivo a Balanza Analítica"/>
    <n v="251090"/>
    <m/>
    <s v="900-IP-0637-2022"/>
    <s v="IP-"/>
    <m/>
    <m/>
    <m/>
    <m/>
    <m/>
    <x v="2"/>
    <s v="CAMILO NUÑEZ"/>
    <d v="2022-11-28T00:00:00"/>
    <e v="#VALUE!"/>
    <e v="#VALUE!"/>
    <m/>
    <s v="Cerrado"/>
    <x v="0"/>
    <d v="2022-12-30T00:00:00"/>
    <m/>
    <d v="2022-12-30T00:00:00"/>
    <x v="5"/>
    <s v="dic"/>
    <n v="37"/>
    <n v="32"/>
    <x v="3"/>
    <m/>
    <x v="0"/>
    <m/>
    <m/>
    <m/>
    <m/>
    <m/>
    <m/>
    <m/>
    <m/>
    <m/>
    <m/>
    <m/>
    <m/>
    <m/>
    <m/>
    <x v="0"/>
    <m/>
    <m/>
  </r>
  <r>
    <n v="591"/>
    <s v="0638"/>
    <x v="5"/>
    <d v="2022-11-29T00:00:00"/>
    <x v="11"/>
    <s v="GHA0287"/>
    <s v="FR-800-GHA-0199-2022"/>
    <s v="800-CMA-1913-2021"/>
    <s v="Realizar las actividades necesarias para llevar a cabo las adecuaciones locativas y mantenimiento preventivos y correctivos sedes pertenecientes a la GUENTIC. Centrales Telefonicas"/>
    <n v="69932512"/>
    <m/>
    <s v="N/A"/>
    <s v=""/>
    <m/>
    <m/>
    <m/>
    <m/>
    <m/>
    <x v="3"/>
    <s v="FRANCIA RAMÍREZ"/>
    <d v="2022-11-29T00:00:00"/>
    <e v="#VALUE!"/>
    <e v="#VALUE!"/>
    <m/>
    <s v="Cerrado"/>
    <x v="0"/>
    <d v="2022-12-16T00:00:00"/>
    <s v=" Mediante ACTA DE CIERRE, se da por terminado el proceso de invitación, 14/12/2022"/>
    <d v="2022-12-14T00:00:00"/>
    <x v="5"/>
    <s v="dic"/>
    <n v="15"/>
    <n v="15"/>
    <x v="3"/>
    <m/>
    <x v="0"/>
    <m/>
    <m/>
    <m/>
    <m/>
    <m/>
    <m/>
    <m/>
    <m/>
    <m/>
    <m/>
    <m/>
    <m/>
    <m/>
    <m/>
    <x v="1"/>
    <m/>
    <m/>
  </r>
  <r>
    <n v="592"/>
    <s v="0639"/>
    <x v="1"/>
    <d v="2022-11-30T00:00:00"/>
    <x v="11"/>
    <s v="GE0396"/>
    <s v="FR-500-GE-0279-2022"/>
    <m/>
    <s v="Suministro de las luminarias y proyectores Led para Sistemas de Alumbrado Público      "/>
    <n v="497254424"/>
    <m/>
    <s v="900-IP-0639-2022"/>
    <s v="IP-"/>
    <m/>
    <m/>
    <m/>
    <m/>
    <m/>
    <x v="2"/>
    <s v="PAOLA BELTRAN"/>
    <d v="2022-11-30T00:00:00"/>
    <e v="#VALUE!"/>
    <e v="#VALUE!"/>
    <m/>
    <s v="Cerrado"/>
    <x v="0"/>
    <d v="2022-12-30T00:00:00"/>
    <s v="Cierre de proceso 900-IP-0639-2022  con objeto: Suministro de luminarias y proyectores Led para Sistema de Alumbrado Público.”, mediante acta de cierre de fecha 29 de diciembre de 2022."/>
    <d v="2022-12-29T00:00:00"/>
    <x v="5"/>
    <s v="dic"/>
    <n v="29"/>
    <n v="29"/>
    <x v="3"/>
    <m/>
    <x v="0"/>
    <m/>
    <m/>
    <m/>
    <m/>
    <m/>
    <m/>
    <m/>
    <m/>
    <m/>
    <m/>
    <m/>
    <m/>
    <m/>
    <m/>
    <x v="0"/>
    <m/>
    <m/>
  </r>
  <r>
    <n v="593"/>
    <s v="0640"/>
    <x v="5"/>
    <d v="2022-11-30T00:00:00"/>
    <x v="11"/>
    <s v="GHA0290"/>
    <s v="FR-800-GHA-0214-2022"/>
    <m/>
    <s v="Realizar la compra de un (1) equipo de preción-succión para la Unidad de Recolección de la UENAA"/>
    <n v="3824682012"/>
    <m/>
    <s v="900-IP-0640-2022"/>
    <s v="IP-"/>
    <m/>
    <m/>
    <m/>
    <m/>
    <m/>
    <x v="2"/>
    <s v="PAOLA BELTRAN"/>
    <d v="2022-11-30T00:00:00"/>
    <e v="#VALUE!"/>
    <e v="#VALUE!"/>
    <m/>
    <s v="Devuelto"/>
    <x v="2"/>
    <d v="2022-12-30T00:00:00"/>
    <s v=" En revisión FPA e INVITACIÓN por Jose Julian desde el 14 de diciembre de 2022. _x000a_30-12-2022, Se realiza devolución de Requerimiento al área el 22 de diciembre de 2022, Devolución de Requerimiento FR-800-214-2022"/>
    <d v="2022-12-22T00:00:00"/>
    <x v="5"/>
    <s v="dic"/>
    <n v="22"/>
    <n v="22"/>
    <x v="3"/>
    <m/>
    <x v="0"/>
    <m/>
    <m/>
    <m/>
    <m/>
    <m/>
    <m/>
    <m/>
    <m/>
    <m/>
    <m/>
    <m/>
    <m/>
    <m/>
    <m/>
    <x v="1"/>
    <m/>
    <m/>
  </r>
  <r>
    <n v="594"/>
    <s v="0641"/>
    <x v="5"/>
    <d v="2022-11-30T00:00:00"/>
    <x v="11"/>
    <s v="GHA0289"/>
    <s v="FR-800-GHA-0214-2022"/>
    <m/>
    <s v="Realizar la compra de un (1) equipo de preción-succión para la Unidad de Recolección de la UENAA"/>
    <n v="3469712628"/>
    <m/>
    <s v="900-IP-0641-2022"/>
    <s v="IP-"/>
    <m/>
    <m/>
    <m/>
    <m/>
    <m/>
    <x v="2"/>
    <s v="PAOLA BELTRAN"/>
    <d v="2022-11-30T00:00:00"/>
    <e v="#VALUE!"/>
    <e v="#VALUE!"/>
    <m/>
    <s v="Devuelto"/>
    <x v="2"/>
    <d v="2022-12-30T00:00:00"/>
    <s v="Se elaboró FPA e INVIACIÓN, pero de acuerdo a instrucciones de jefatura se va a tramitar este año el proceso IP-0640-2022_x000a_30-12-2022 Se realiza devolución de Requerimiento al área el 22 de diciembre de 2022, Devolución de Requerimiento FR-800-214-2022"/>
    <d v="2022-12-22T00:00:00"/>
    <x v="5"/>
    <s v="dic"/>
    <n v="22"/>
    <n v="22"/>
    <x v="3"/>
    <m/>
    <x v="0"/>
    <m/>
    <m/>
    <m/>
    <m/>
    <m/>
    <m/>
    <m/>
    <m/>
    <m/>
    <m/>
    <m/>
    <m/>
    <m/>
    <m/>
    <x v="1"/>
    <m/>
    <m/>
  </r>
  <r>
    <n v="595"/>
    <s v="0642"/>
    <x v="5"/>
    <d v="2022-11-30T00:00:00"/>
    <x v="11"/>
    <s v="GHA0037"/>
    <s v="FR-800-GHA-0197-2022"/>
    <m/>
    <s v="Adquisición de pruebas psicotecnicas de aplicación online, que permitan garantizar a EMCALI EICE ESP el acceso y programación para el proceso de selección y vinculación de aspirantes a cargos de niveles Directivos, Asesor, Profesional, Técnico y Asistencial, con el fin de adelantar la provisión de empleos de la Planta de Personal y/o servidores públicos así como también contar con el servicio técnico necesario para dicha actividad"/>
    <n v="43996960"/>
    <m/>
    <s v="900-IP-0642-2022"/>
    <s v="IP-"/>
    <m/>
    <m/>
    <m/>
    <m/>
    <m/>
    <x v="2"/>
    <s v="ANA MARIA GIL"/>
    <d v="2022-11-30T00:00:00"/>
    <e v="#VALUE!"/>
    <e v="#VALUE!"/>
    <m/>
    <s v="Devuelto"/>
    <x v="2"/>
    <d v="2022-12-30T00:00:00"/>
    <m/>
    <d v="2022-12-30T00:00:00"/>
    <x v="5"/>
    <s v="dic"/>
    <n v="30"/>
    <n v="30"/>
    <x v="3"/>
    <m/>
    <x v="0"/>
    <m/>
    <m/>
    <m/>
    <m/>
    <m/>
    <m/>
    <m/>
    <m/>
    <m/>
    <m/>
    <m/>
    <m/>
    <m/>
    <m/>
    <x v="1"/>
    <m/>
    <m/>
  </r>
  <r>
    <n v="596"/>
    <s v="0643"/>
    <x v="6"/>
    <d v="2022-11-30T00:00:00"/>
    <x v="11"/>
    <s v="GTI0213_x000a_GTI0214"/>
    <s v="FR-200-GTI-0126-2022"/>
    <m/>
    <s v="Prestacion de servicios para la actualizacion de licenciamiento, para el restablecimiento y puesta en operación, bajo la modalidad de suscripcion hyland cloud, del sistema de gestion documental onbase, en su ultima version estable, considerando aspectos como migracion, configuracion,desarrollo, pruebas, implementacion y documentacion, de conformidad con la regulacion vigente "/>
    <n v="1296491842"/>
    <m/>
    <s v="900-IP-0643-2022"/>
    <s v="IP-"/>
    <m/>
    <m/>
    <m/>
    <m/>
    <m/>
    <x v="2"/>
    <s v="PAOLA BELTRAN"/>
    <d v="2022-11-30T00:00:00"/>
    <n v="54"/>
    <n v="54"/>
    <m/>
    <s v="Entregado al area"/>
    <x v="1"/>
    <d v="2022-12-15T00:00:00"/>
    <m/>
    <d v="2022-12-14T00:00:00"/>
    <x v="14"/>
    <s v="Dec"/>
    <n v="14"/>
    <n v="14"/>
    <x v="2"/>
    <m/>
    <x v="360"/>
    <d v="2022-12-09T00:00:00"/>
    <n v="1296491642"/>
    <s v="SONDA DE COLOMBIA S.A"/>
    <s v="AB230002979"/>
    <n v="200"/>
    <m/>
    <m/>
    <m/>
    <m/>
    <m/>
    <m/>
    <m/>
    <m/>
    <n v="1.5426244386657699E-7"/>
    <x v="1"/>
    <n v="1"/>
    <n v="10"/>
  </r>
  <r>
    <n v="597"/>
    <s v="0644"/>
    <x v="1"/>
    <d v="2022-11-30T00:00:00"/>
    <x v="11"/>
    <s v="GE0260"/>
    <s v="FR-500-GE-0267-2022"/>
    <m/>
    <s v="Prestación de servicios de Silvicultura de árboles sembrados y seguimiento a epifitas vasculares en Subestación Ladera, cementerio La Aurora y predio La Olga"/>
    <n v="10770928"/>
    <m/>
    <s v="900-IP-0644-2022"/>
    <s v="IP-"/>
    <m/>
    <m/>
    <m/>
    <m/>
    <m/>
    <x v="2"/>
    <s v="JULIO ERNESTO GARCIA"/>
    <d v="2022-11-30T00:00:00"/>
    <e v="#VALUE!"/>
    <e v="#VALUE!"/>
    <m/>
    <s v="Devuelto"/>
    <x v="2"/>
    <d v="2022-12-22T00:00:00"/>
    <m/>
    <d v="2022-12-22T00:00:00"/>
    <x v="5"/>
    <s v="dic"/>
    <n v="22"/>
    <n v="22"/>
    <x v="3"/>
    <m/>
    <x v="0"/>
    <m/>
    <m/>
    <m/>
    <m/>
    <m/>
    <m/>
    <m/>
    <m/>
    <m/>
    <m/>
    <m/>
    <m/>
    <m/>
    <m/>
    <x v="0"/>
    <m/>
    <m/>
  </r>
  <r>
    <n v="598"/>
    <s v="0645"/>
    <x v="5"/>
    <d v="2022-11-01T00:00:00"/>
    <x v="11"/>
    <s v="GHA0292"/>
    <s v="FR-800-GHA-0185-2022"/>
    <m/>
    <s v="Realizar la compra de jabon liquido espumoso para el lavado de manos"/>
    <n v="200457042"/>
    <m/>
    <s v="900-IP-0645-2022"/>
    <s v="IP-"/>
    <m/>
    <m/>
    <m/>
    <m/>
    <m/>
    <x v="2"/>
    <s v="JHON LARRY CAICEDO"/>
    <d v="2022-12-01T00:00:00"/>
    <e v="#VALUE!"/>
    <e v="#VALUE!"/>
    <m/>
    <s v="Acta de terminacion anticipada por mutuo acuerdo "/>
    <x v="0"/>
    <d v="2022-12-30T00:00:00"/>
    <s v="ACTA DE TERMINACION POR MUTUO ACUERDO FIRMADA EL 29 DE DICIEMBRE DE 2022"/>
    <d v="2022-12-27T00:00:00"/>
    <x v="5"/>
    <s v="dic"/>
    <n v="56"/>
    <n v="26"/>
    <x v="3"/>
    <m/>
    <x v="361"/>
    <d v="2022-12-23T00:00:00"/>
    <n v="198973950"/>
    <s v="MASUNION S.A.S"/>
    <s v="AB-2300003091"/>
    <n v="1483092"/>
    <m/>
    <m/>
    <m/>
    <m/>
    <m/>
    <m/>
    <m/>
    <m/>
    <m/>
    <x v="1"/>
    <m/>
    <m/>
  </r>
  <r>
    <n v="599"/>
    <s v="0646"/>
    <x v="2"/>
    <d v="2022-12-02T00:00:00"/>
    <x v="12"/>
    <s v="GAA0815"/>
    <s v="FR-300-GAA-0269-2022"/>
    <s v="300-CMA-1974-2020"/>
    <s v="Suministro de materiales de ferreteria asociados con la ejecución de acometidas de acueducto afines para EMCALI EICE ESP"/>
    <n v="2071953590"/>
    <m/>
    <s v="N/A"/>
    <s v=""/>
    <m/>
    <m/>
    <m/>
    <m/>
    <m/>
    <x v="1"/>
    <s v="LUCY AYDEE ARBELAEZ"/>
    <d v="2022-12-02T00:00:00"/>
    <n v="52"/>
    <n v="52"/>
    <m/>
    <s v="Entregado al area"/>
    <x v="1"/>
    <d v="2022-12-23T00:00:00"/>
    <m/>
    <d v="2022-12-29T00:00:00"/>
    <x v="14"/>
    <s v="Dec"/>
    <n v="27"/>
    <n v="27"/>
    <x v="0"/>
    <m/>
    <x v="362"/>
    <d v="2022-12-23T00:00:00"/>
    <n v="2006742061"/>
    <s v="EQUIPOS Y HERRAMIENTAS INDUSTRIALES SAS_x000a_ALMACEN RODAFER SAS"/>
    <m/>
    <n v="65211529"/>
    <m/>
    <m/>
    <m/>
    <m/>
    <m/>
    <m/>
    <m/>
    <m/>
    <n v="3.1473450619132835E-2"/>
    <x v="0"/>
    <n v="0"/>
    <n v="27"/>
  </r>
  <r>
    <n v="600"/>
    <s v="0647"/>
    <x v="6"/>
    <d v="2022-12-02T00:00:00"/>
    <x v="12"/>
    <m/>
    <s v="FR-200-GTI-0123-2022"/>
    <m/>
    <s v="Contratar los servicios de implementación, configuración, operación, monitoreo y soporte de los servidores Bases de Datos y Servicios de implementación, configuración, operación, monitoreo y soporte de servicios de AWS que hacen parte integral de equipamiento tecnologico de EMCALI EICE ESP"/>
    <n v="2976031062"/>
    <m/>
    <m/>
    <m/>
    <m/>
    <m/>
    <m/>
    <m/>
    <m/>
    <x v="6"/>
    <m/>
    <m/>
    <m/>
    <m/>
    <m/>
    <m/>
    <x v="2"/>
    <m/>
    <m/>
    <m/>
    <x v="5"/>
    <m/>
    <m/>
    <m/>
    <x v="3"/>
    <m/>
    <x v="0"/>
    <m/>
    <m/>
    <m/>
    <m/>
    <m/>
    <m/>
    <m/>
    <m/>
    <m/>
    <m/>
    <m/>
    <m/>
    <m/>
    <m/>
    <x v="1"/>
    <m/>
    <m/>
  </r>
  <r>
    <n v="601"/>
    <s v="0649"/>
    <x v="1"/>
    <d v="2022-12-06T00:00:00"/>
    <x v="12"/>
    <s v="PRECALIF"/>
    <s v="FR-500-GE-0280-2022"/>
    <m/>
    <s v="Lista de precalificados para el suministro de luminarias y proyectores led para modernizar el sistema de alumbrado publico de santiago de cali "/>
    <n v="0"/>
    <m/>
    <m/>
    <s v=""/>
    <m/>
    <m/>
    <m/>
    <m/>
    <m/>
    <x v="3"/>
    <s v="HAROLD MONDRAGON"/>
    <d v="2022-12-06T00:00:00"/>
    <e v="#VALUE!"/>
    <e v="#VALUE!"/>
    <m/>
    <s v="Cerrado"/>
    <x v="2"/>
    <d v="2022-12-09T00:00:00"/>
    <m/>
    <d v="2022-12-09T00:00:00"/>
    <x v="5"/>
    <s v="dic"/>
    <n v="3"/>
    <n v="3"/>
    <x v="3"/>
    <m/>
    <x v="0"/>
    <m/>
    <m/>
    <m/>
    <m/>
    <m/>
    <m/>
    <m/>
    <m/>
    <m/>
    <m/>
    <m/>
    <m/>
    <m/>
    <m/>
    <x v="0"/>
    <m/>
    <m/>
  </r>
  <r>
    <n v="602"/>
    <s v="0650"/>
    <x v="4"/>
    <d v="2022-12-09T00:00:00"/>
    <x v="12"/>
    <m/>
    <s v="FR-900-GAE-0063-2022"/>
    <m/>
    <s v="Realizar la toma fisica de inventario general de todos los elementos y bienes que se encuentran almacenados en las bodegas de EMCALI EICE ESP y avalúo técnico, según el marco normativo vigente para empresas que no cotizan en el mercado de valores y que no captan ni administran ahorros del público"/>
    <n v="198000000"/>
    <m/>
    <m/>
    <m/>
    <m/>
    <m/>
    <m/>
    <m/>
    <m/>
    <x v="6"/>
    <m/>
    <m/>
    <m/>
    <m/>
    <m/>
    <m/>
    <x v="2"/>
    <m/>
    <m/>
    <m/>
    <x v="5"/>
    <m/>
    <m/>
    <m/>
    <x v="3"/>
    <m/>
    <x v="0"/>
    <m/>
    <m/>
    <m/>
    <m/>
    <m/>
    <m/>
    <m/>
    <m/>
    <m/>
    <m/>
    <m/>
    <m/>
    <m/>
    <m/>
    <x v="1"/>
    <m/>
    <m/>
  </r>
  <r>
    <n v="603"/>
    <s v="0651"/>
    <x v="3"/>
    <d v="2022-12-09T00:00:00"/>
    <x v="12"/>
    <s v="GT0259"/>
    <s v="FR-400-GT-0212-2022"/>
    <m/>
    <s v="Suministro e instalación de un sistema para monitorear variables del suelo y ambientales para cultivos urbanos y rurales, por medio de equipos y nodos sustentables con energías alternativas"/>
    <n v="49405696"/>
    <m/>
    <s v="900-IP-0651-2022"/>
    <s v="IP-"/>
    <m/>
    <m/>
    <m/>
    <m/>
    <m/>
    <x v="2"/>
    <s v="JULIO ERAZO"/>
    <d v="2022-12-12T00:00:00"/>
    <e v="#VALUE!"/>
    <e v="#VALUE!"/>
    <m/>
    <s v="Entregado al area"/>
    <x v="2"/>
    <d v="2022-12-29T00:00:00"/>
    <s v="REVISION FPA E INVITACION Y ESPERA DE CORREPCIÓN FICHA DE REQUERIMIENTO POR PARTE DEL ÁREA"/>
    <d v="2022-12-29T00:00:00"/>
    <x v="5"/>
    <s v="dic"/>
    <n v="20"/>
    <n v="17"/>
    <x v="3"/>
    <m/>
    <x v="363"/>
    <d v="2022-12-23T00:00:00"/>
    <n v="49405426"/>
    <s v="DISTRIELECTRICOS MAVI S.A.S"/>
    <s v="PY-2270000352"/>
    <n v="270"/>
    <m/>
    <m/>
    <m/>
    <m/>
    <m/>
    <m/>
    <m/>
    <m/>
    <m/>
    <x v="1"/>
    <m/>
    <m/>
  </r>
  <r>
    <n v="604"/>
    <s v="0652"/>
    <x v="1"/>
    <d v="2022-12-13T00:00:00"/>
    <x v="12"/>
    <s v="N/A"/>
    <s v="FR-500-GE-0281-2022"/>
    <m/>
    <s v="Lista de precalificados para realizar el mantenimiento preventivo a las redes electricas del SDL de energia, consistente en la poda técnica de árboles que interfieren con las redes de energía eléctrica energizadas y el control de malezas en las subestaciones de energía de la GUENE"/>
    <n v="0"/>
    <m/>
    <m/>
    <s v=""/>
    <m/>
    <m/>
    <m/>
    <m/>
    <m/>
    <x v="3"/>
    <s v="AYDEE OVALLE"/>
    <d v="2022-12-13T00:00:00"/>
    <e v="#VALUE!"/>
    <e v="#VALUE!"/>
    <m/>
    <s v="Revision CC Gae"/>
    <x v="2"/>
    <d v="2023-01-18T00:00:00"/>
    <m/>
    <m/>
    <x v="5"/>
    <s v=""/>
    <n v="-44908"/>
    <n v="-44908"/>
    <x v="3"/>
    <m/>
    <x v="0"/>
    <m/>
    <m/>
    <m/>
    <m/>
    <m/>
    <m/>
    <m/>
    <m/>
    <m/>
    <m/>
    <m/>
    <m/>
    <m/>
    <m/>
    <x v="0"/>
    <m/>
    <m/>
  </r>
  <r>
    <n v="605"/>
    <s v="0653"/>
    <x v="2"/>
    <d v="2022-12-14T00:00:00"/>
    <x v="12"/>
    <s v="GAA0817"/>
    <s v="FR-300-GAA-0270-2022"/>
    <s v="300-CMA-1974-2020"/>
    <s v="Suministro de Herramientas para la Unidad de Control Integral de Perdidas de Agua de la GUENAA"/>
    <n v="802858452"/>
    <m/>
    <m/>
    <s v=""/>
    <m/>
    <m/>
    <m/>
    <m/>
    <m/>
    <x v="3"/>
    <s v="LUCY AYDEE ARBELAEZ"/>
    <d v="2022-12-14T00:00:00"/>
    <e v="#VALUE!"/>
    <e v="#VALUE!"/>
    <m/>
    <s v="Entregado al area"/>
    <x v="2"/>
    <d v="2022-12-22T00:00:00"/>
    <m/>
    <d v="2022-12-29T00:00:00"/>
    <x v="5"/>
    <s v="dic"/>
    <n v="15"/>
    <n v="15"/>
    <x v="3"/>
    <m/>
    <x v="364"/>
    <d v="2022-12-28T00:00:00"/>
    <n v="776330557"/>
    <s v="EQUIPOS Y HERRAMIENTAS INDUSTRIALES SAS."/>
    <m/>
    <n v="26527895"/>
    <m/>
    <m/>
    <m/>
    <m/>
    <m/>
    <m/>
    <m/>
    <m/>
    <m/>
    <x v="0"/>
    <m/>
    <m/>
  </r>
  <r>
    <n v="606"/>
    <s v="0654"/>
    <x v="2"/>
    <d v="2022-12-14T00:00:00"/>
    <x v="12"/>
    <n v="2022"/>
    <s v="FR-300-GAA-0271-2022"/>
    <s v="300-CMA-1974-2020"/>
    <s v="Suministro de Materiales de Ferreteria para la Unidad de Control Integral de Perdidas de Agua de la GUENNA"/>
    <n v="802858452"/>
    <m/>
    <m/>
    <s v=""/>
    <m/>
    <m/>
    <m/>
    <m/>
    <m/>
    <x v="1"/>
    <s v="LUCY AYDEE ARBELAEZ"/>
    <d v="2022-12-14T00:00:00"/>
    <e v="#VALUE!"/>
    <e v="#VALUE!"/>
    <m/>
    <s v="Devuelto"/>
    <x v="1"/>
    <d v="2022-12-22T00:00:00"/>
    <m/>
    <d v="2022-12-28T00:00:00"/>
    <x v="14"/>
    <s v="dic"/>
    <n v="14"/>
    <n v="14"/>
    <x v="3"/>
    <m/>
    <x v="365"/>
    <n v="44923"/>
    <n v="776330557"/>
    <s v="EQUIPOS Y HERRAMIENTAS INDUSTRIALES SAS."/>
    <m/>
    <n v="26527895"/>
    <m/>
    <m/>
    <m/>
    <m/>
    <m/>
    <m/>
    <m/>
    <m/>
    <m/>
    <x v="0"/>
    <m/>
    <m/>
  </r>
  <r>
    <n v="607"/>
    <s v="0655"/>
    <x v="1"/>
    <d v="2022-12-20T00:00:00"/>
    <x v="12"/>
    <s v="PRECALIF"/>
    <s v="FR-500-GE-0282-2022"/>
    <m/>
    <s v="Construcción de las obras de expansión y modernización del Sistema de Alumbrado Público establecidos en la guía de ejecución de proyectos de alumbrado público en el Distrito de Santiago de Cali conforme a los diseños, luminarias y proyectores LED que entregue EMCALI EICE ESP, todo lo anterior cumpliendo con las normas técnicas de EMCALI EICE ESP, el RETIE y el RETILAP"/>
    <s v="N/A"/>
    <m/>
    <m/>
    <s v=""/>
    <m/>
    <m/>
    <m/>
    <m/>
    <m/>
    <x v="3"/>
    <m/>
    <m/>
    <e v="#VALUE!"/>
    <e v="#VALUE!"/>
    <m/>
    <m/>
    <x v="2"/>
    <m/>
    <m/>
    <m/>
    <x v="5"/>
    <s v=""/>
    <n v="-44915"/>
    <n v="0"/>
    <x v="3"/>
    <m/>
    <x v="0"/>
    <m/>
    <m/>
    <m/>
    <m/>
    <m/>
    <m/>
    <m/>
    <m/>
    <m/>
    <m/>
    <m/>
    <m/>
    <m/>
    <m/>
    <x v="0"/>
    <m/>
    <m/>
  </r>
  <r>
    <n v="608"/>
    <s v="0656"/>
    <x v="2"/>
    <d v="2022-12-27T00:00:00"/>
    <x v="12"/>
    <s v="PRECALIF"/>
    <s v="FR-300-GAA-0276-2022"/>
    <m/>
    <s v="Ejecutar las obras para la optimización de las redes de acueducto de los barrios Puerto Mallarino, Simon Bolivar, El Lido, Colseguros y Saavedra Galindo"/>
    <n v="9647132101"/>
    <m/>
    <m/>
    <s v=""/>
    <m/>
    <m/>
    <m/>
    <m/>
    <m/>
    <x v="3"/>
    <s v="HAROLD MONDRAGON"/>
    <m/>
    <e v="#VALUE!"/>
    <e v="#VALUE!"/>
    <m/>
    <s v="Cerrado"/>
    <x v="0"/>
    <m/>
    <m/>
    <m/>
    <x v="5"/>
    <s v=""/>
    <n v="-44922"/>
    <n v="0"/>
    <x v="3"/>
    <m/>
    <x v="0"/>
    <m/>
    <m/>
    <m/>
    <m/>
    <m/>
    <m/>
    <m/>
    <m/>
    <m/>
    <m/>
    <m/>
    <m/>
    <m/>
    <m/>
    <x v="0"/>
    <m/>
    <m/>
  </r>
  <r>
    <n v="609"/>
    <s v="0657"/>
    <x v="2"/>
    <d v="2022-12-27T00:00:00"/>
    <x v="12"/>
    <s v="PRECALIF"/>
    <s v="FR-300-GAA-0278-2022"/>
    <m/>
    <s v="Optimización del Funcionamiento hidraulico y estructural de la red secundaria de alcantarillado y la optimización de la red de acueducto en el barrio San Luis en Santiago de Cali"/>
    <n v="20412408515"/>
    <m/>
    <m/>
    <s v=""/>
    <m/>
    <m/>
    <m/>
    <m/>
    <m/>
    <x v="3"/>
    <s v="HAROLD MONDRAGON"/>
    <m/>
    <e v="#VALUE!"/>
    <e v="#VALUE!"/>
    <m/>
    <s v="Cerrado"/>
    <x v="0"/>
    <m/>
    <m/>
    <m/>
    <x v="5"/>
    <s v=""/>
    <n v="-44922"/>
    <n v="0"/>
    <x v="3"/>
    <m/>
    <x v="0"/>
    <m/>
    <m/>
    <m/>
    <m/>
    <m/>
    <m/>
    <m/>
    <m/>
    <m/>
    <m/>
    <m/>
    <m/>
    <m/>
    <m/>
    <x v="0"/>
    <m/>
    <m/>
  </r>
  <r>
    <n v="610"/>
    <s v="0658"/>
    <x v="2"/>
    <d v="2022-12-28T00:00:00"/>
    <x v="12"/>
    <s v="PRECALIF"/>
    <s v="FR-300-GAA-0278-2022"/>
    <m/>
    <s v="Optimización del Funcionamiento hidraulico y estructural de la red secundaria de alcantarillado y la optimización de la red de acueducto en el barrio San Luis en Santiago de Cali"/>
    <n v="20412408515"/>
    <m/>
    <m/>
    <s v=""/>
    <m/>
    <m/>
    <m/>
    <m/>
    <m/>
    <x v="0"/>
    <m/>
    <m/>
    <e v="#VALUE!"/>
    <e v="#VALUE!"/>
    <m/>
    <m/>
    <x v="3"/>
    <m/>
    <m/>
    <m/>
    <x v="5"/>
    <s v=""/>
    <n v="-44923"/>
    <n v="0"/>
    <x v="3"/>
    <m/>
    <x v="0"/>
    <m/>
    <m/>
    <m/>
    <m/>
    <m/>
    <m/>
    <m/>
    <m/>
    <m/>
    <m/>
    <m/>
    <m/>
    <m/>
    <m/>
    <x v="0"/>
    <m/>
    <m/>
  </r>
  <r>
    <n v="611"/>
    <s v="0659"/>
    <x v="2"/>
    <d v="2022-12-28T00:00:00"/>
    <x v="12"/>
    <s v="PRECALIF"/>
    <s v="FR-300-GAA-0276-2022"/>
    <m/>
    <s v="Ejecutar las obras para la Optimización de las redes de acueducto de los barrios Puerto Mallarino, Simon Bolivar, El Lido, Colseguros y Saavedra Galindo"/>
    <n v="9647132101"/>
    <m/>
    <m/>
    <s v=""/>
    <m/>
    <m/>
    <m/>
    <m/>
    <m/>
    <x v="0"/>
    <m/>
    <m/>
    <e v="#VALUE!"/>
    <e v="#VALUE!"/>
    <m/>
    <m/>
    <x v="3"/>
    <m/>
    <m/>
    <m/>
    <x v="5"/>
    <s v=""/>
    <n v="-44923"/>
    <n v="0"/>
    <x v="3"/>
    <m/>
    <x v="0"/>
    <m/>
    <m/>
    <m/>
    <m/>
    <m/>
    <m/>
    <m/>
    <m/>
    <m/>
    <m/>
    <m/>
    <m/>
    <m/>
    <m/>
    <x v="0"/>
    <m/>
    <m/>
  </r>
  <r>
    <n v="612"/>
    <s v="0660"/>
    <x v="2"/>
    <d v="2022-12-29T00:00:00"/>
    <x v="12"/>
    <s v="PRECALIF"/>
    <s v="FR-300-GAA-0277-2022"/>
    <m/>
    <s v="Realizar la Interventoria tecnica, administrativa, financiera y legal del contrato que surja del proceso cuyo objeto es realizar la construcción para la optimización de las redes de acueducto en los barrios Puerto Mallarino, Simon Bolivar, El Lido,  Colseguros, Saavedra Galindo"/>
    <n v="663117980"/>
    <m/>
    <m/>
    <s v=""/>
    <m/>
    <m/>
    <m/>
    <m/>
    <m/>
    <x v="0"/>
    <m/>
    <m/>
    <e v="#VALUE!"/>
    <e v="#VALUE!"/>
    <m/>
    <m/>
    <x v="3"/>
    <m/>
    <m/>
    <m/>
    <x v="5"/>
    <s v=""/>
    <n v="-44924"/>
    <n v="0"/>
    <x v="3"/>
    <m/>
    <x v="0"/>
    <m/>
    <m/>
    <m/>
    <m/>
    <m/>
    <m/>
    <m/>
    <m/>
    <m/>
    <m/>
    <m/>
    <m/>
    <m/>
    <m/>
    <x v="0"/>
    <m/>
    <m/>
  </r>
  <r>
    <n v="613"/>
    <s v="0661"/>
    <x v="2"/>
    <d v="2022-12-29T00:00:00"/>
    <x v="12"/>
    <s v="PRECALIF"/>
    <s v="FR-300-GAA-0279-2022"/>
    <m/>
    <s v="Realizar la Interventoria tecnica, administrativa, financiera y legal del contrato que resulte del proceso de contratación de las obras de optimización del funcionamiento hidraulico y estructural de la red secundaria de alcantarillado y la optimización de la red de acueducto en el barrio San Luis en el Municipio de Santiago de Cali"/>
    <n v="1477364678"/>
    <m/>
    <m/>
    <m/>
    <m/>
    <m/>
    <m/>
    <m/>
    <m/>
    <x v="0"/>
    <m/>
    <m/>
    <e v="#VALUE!"/>
    <e v="#VALUE!"/>
    <m/>
    <m/>
    <x v="3"/>
    <m/>
    <m/>
    <m/>
    <x v="5"/>
    <s v=""/>
    <n v="-44924"/>
    <n v="0"/>
    <x v="3"/>
    <m/>
    <x v="0"/>
    <m/>
    <m/>
    <m/>
    <m/>
    <m/>
    <m/>
    <m/>
    <m/>
    <m/>
    <m/>
    <m/>
    <m/>
    <m/>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6"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87:E91" firstHeaderRow="1" firstDataRow="3" firstDataCol="1" rowPageCount="1" colPageCount="1"/>
  <pivotFields count="53">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h="1" x="1"/>
        <item h="1" x="2"/>
        <item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4"/>
  </rowFields>
  <rowItems count="2">
    <i>
      <x v="12"/>
    </i>
    <i t="grand">
      <x/>
    </i>
  </rowItems>
  <colFields count="2">
    <field x="18"/>
    <field x="-2"/>
  </colFields>
  <colItems count="4">
    <i>
      <x v="2"/>
      <x/>
    </i>
    <i r="1" i="1">
      <x v="1"/>
    </i>
    <i t="grand">
      <x/>
    </i>
    <i t="grand" i="1">
      <x/>
    </i>
  </colItems>
  <pageFields count="1">
    <pageField fld="25" hier="-1"/>
  </pageFields>
  <dataFields count="2">
    <dataField name="Cuenta de Ítem" fld="0" subtotal="count" baseField="4" baseItem="0"/>
    <dataField name="Suma de Valor     Presupuestado " fld="9" baseField="4" baseItem="9"/>
  </dataFields>
  <formats count="186">
    <format dxfId="493">
      <pivotArea type="all" dataOnly="0" outline="0" fieldPosition="0"/>
    </format>
    <format dxfId="492">
      <pivotArea outline="0" collapsedLevelsAreSubtotals="1" fieldPosition="0"/>
    </format>
    <format dxfId="491">
      <pivotArea type="origin" dataOnly="0" labelOnly="1" outline="0" fieldPosition="0"/>
    </format>
    <format dxfId="490">
      <pivotArea field="18" type="button" dataOnly="0" labelOnly="1" outline="0" axis="axisCol" fieldPosition="0"/>
    </format>
    <format dxfId="489">
      <pivotArea type="topRight" dataOnly="0" labelOnly="1" outline="0" fieldPosition="0"/>
    </format>
    <format dxfId="488">
      <pivotArea field="4" type="button" dataOnly="0" labelOnly="1" outline="0" axis="axisRow" fieldPosition="0"/>
    </format>
    <format dxfId="487">
      <pivotArea dataOnly="0" labelOnly="1" fieldPosition="0">
        <references count="1">
          <reference field="4" count="0"/>
        </references>
      </pivotArea>
    </format>
    <format dxfId="486">
      <pivotArea dataOnly="0" labelOnly="1" grandRow="1" outline="0" fieldPosition="0"/>
    </format>
    <format dxfId="485">
      <pivotArea dataOnly="0" labelOnly="1" fieldPosition="0">
        <references count="1">
          <reference field="18" count="0"/>
        </references>
      </pivotArea>
    </format>
    <format dxfId="484">
      <pivotArea dataOnly="0" labelOnly="1" grandCol="1" outline="0" fieldPosition="0"/>
    </format>
    <format dxfId="483">
      <pivotArea field="4" type="button" dataOnly="0" labelOnly="1" outline="0" axis="axisRow" fieldPosition="0"/>
    </format>
    <format dxfId="482">
      <pivotArea dataOnly="0" labelOnly="1" fieldPosition="0">
        <references count="1">
          <reference field="18" count="0"/>
        </references>
      </pivotArea>
    </format>
    <format dxfId="481">
      <pivotArea dataOnly="0" labelOnly="1" grandCol="1" outline="0" fieldPosition="0"/>
    </format>
    <format dxfId="480">
      <pivotArea field="4" type="button" dataOnly="0" labelOnly="1" outline="0" axis="axisRow" fieldPosition="0"/>
    </format>
    <format dxfId="479">
      <pivotArea dataOnly="0" labelOnly="1" fieldPosition="0">
        <references count="1">
          <reference field="18" count="0"/>
        </references>
      </pivotArea>
    </format>
    <format dxfId="478">
      <pivotArea dataOnly="0" labelOnly="1" grandCol="1" outline="0" fieldPosition="0"/>
    </format>
    <format dxfId="477">
      <pivotArea type="origin" dataOnly="0" labelOnly="1" outline="0" fieldPosition="0"/>
    </format>
    <format dxfId="476">
      <pivotArea field="18" type="button" dataOnly="0" labelOnly="1" outline="0" axis="axisCol" fieldPosition="0"/>
    </format>
    <format dxfId="475">
      <pivotArea type="topRight" dataOnly="0" labelOnly="1" outline="0" fieldPosition="0"/>
    </format>
    <format dxfId="474">
      <pivotArea outline="0" collapsedLevelsAreSubtotals="1" fieldPosition="0"/>
    </format>
    <format dxfId="473">
      <pivotArea dataOnly="0" labelOnly="1" outline="0" fieldPosition="0">
        <references count="1">
          <reference field="25" count="0"/>
        </references>
      </pivotArea>
    </format>
    <format dxfId="472">
      <pivotArea field="18" type="button" dataOnly="0" labelOnly="1" outline="0" axis="axisCol" fieldPosition="0"/>
    </format>
    <format dxfId="471">
      <pivotArea field="-2" type="button" dataOnly="0" labelOnly="1" outline="0" axis="axisCol" fieldPosition="1"/>
    </format>
    <format dxfId="470">
      <pivotArea type="topRight" dataOnly="0" labelOnly="1" outline="0" fieldPosition="0"/>
    </format>
    <format dxfId="469">
      <pivotArea dataOnly="0" labelOnly="1" fieldPosition="0">
        <references count="1">
          <reference field="18" count="0"/>
        </references>
      </pivotArea>
    </format>
    <format dxfId="468">
      <pivotArea field="18" dataOnly="0" labelOnly="1" grandCol="1" outline="0" axis="axisCol" fieldPosition="0">
        <references count="1">
          <reference field="4294967294" count="1" selected="0">
            <x v="0"/>
          </reference>
        </references>
      </pivotArea>
    </format>
    <format dxfId="467">
      <pivotArea field="18" dataOnly="0" labelOnly="1" grandCol="1" outline="0" axis="axisCol" fieldPosition="0">
        <references count="1">
          <reference field="4294967294" count="1" selected="0">
            <x v="0"/>
          </reference>
        </references>
      </pivotArea>
    </format>
    <format dxfId="466">
      <pivotArea dataOnly="0" labelOnly="1" outline="0" fieldPosition="0">
        <references count="2">
          <reference field="4294967294" count="1">
            <x v="0"/>
          </reference>
          <reference field="18" count="1" selected="0">
            <x v="0"/>
          </reference>
        </references>
      </pivotArea>
    </format>
    <format dxfId="465">
      <pivotArea dataOnly="0" labelOnly="1" outline="0" fieldPosition="0">
        <references count="2">
          <reference field="4294967294" count="1">
            <x v="0"/>
          </reference>
          <reference field="18" count="1" selected="0">
            <x v="1"/>
          </reference>
        </references>
      </pivotArea>
    </format>
    <format dxfId="464">
      <pivotArea field="4" type="button" dataOnly="0" labelOnly="1" outline="0" axis="axisRow" fieldPosition="0"/>
    </format>
    <format dxfId="463">
      <pivotArea field="18" dataOnly="0" labelOnly="1" grandCol="1" outline="0" axis="axisCol" fieldPosition="0">
        <references count="1">
          <reference field="4294967294" count="1" selected="0">
            <x v="0"/>
          </reference>
        </references>
      </pivotArea>
    </format>
    <format dxfId="462">
      <pivotArea field="18" dataOnly="0" labelOnly="1" grandCol="1" outline="0" axis="axisCol" fieldPosition="0">
        <references count="1">
          <reference field="4294967294" count="1" selected="0">
            <x v="0"/>
          </reference>
        </references>
      </pivotArea>
    </format>
    <format dxfId="461">
      <pivotArea dataOnly="0" labelOnly="1" outline="0" fieldPosition="0">
        <references count="2">
          <reference field="4294967294" count="1">
            <x v="0"/>
          </reference>
          <reference field="18" count="1" selected="0">
            <x v="0"/>
          </reference>
        </references>
      </pivotArea>
    </format>
    <format dxfId="460">
      <pivotArea dataOnly="0" labelOnly="1" outline="0" fieldPosition="0">
        <references count="2">
          <reference field="4294967294" count="1">
            <x v="0"/>
          </reference>
          <reference field="18" count="1" selected="0">
            <x v="1"/>
          </reference>
        </references>
      </pivotArea>
    </format>
    <format dxfId="459">
      <pivotArea field="4" type="button" dataOnly="0" labelOnly="1" outline="0" axis="axisRow" fieldPosition="0"/>
    </format>
    <format dxfId="458">
      <pivotArea field="18" dataOnly="0" labelOnly="1" grandCol="1" outline="0" axis="axisCol" fieldPosition="0">
        <references count="1">
          <reference field="4294967294" count="1" selected="0">
            <x v="0"/>
          </reference>
        </references>
      </pivotArea>
    </format>
    <format dxfId="457">
      <pivotArea field="18" dataOnly="0" labelOnly="1" grandCol="1" outline="0" axis="axisCol" fieldPosition="0">
        <references count="1">
          <reference field="4294967294" count="1" selected="0">
            <x v="0"/>
          </reference>
        </references>
      </pivotArea>
    </format>
    <format dxfId="456">
      <pivotArea dataOnly="0" labelOnly="1" outline="0" fieldPosition="0">
        <references count="2">
          <reference field="4294967294" count="1">
            <x v="0"/>
          </reference>
          <reference field="18" count="1" selected="0">
            <x v="0"/>
          </reference>
        </references>
      </pivotArea>
    </format>
    <format dxfId="455">
      <pivotArea dataOnly="0" labelOnly="1" outline="0" fieldPosition="0">
        <references count="2">
          <reference field="4294967294" count="1">
            <x v="0"/>
          </reference>
          <reference field="18" count="1" selected="0">
            <x v="1"/>
          </reference>
        </references>
      </pivotArea>
    </format>
    <format dxfId="454">
      <pivotArea field="4" type="button" dataOnly="0" labelOnly="1" outline="0" axis="axisRow" fieldPosition="0"/>
    </format>
    <format dxfId="453">
      <pivotArea field="18" dataOnly="0" labelOnly="1" grandCol="1" outline="0" axis="axisCol" fieldPosition="0">
        <references count="1">
          <reference field="4294967294" count="1" selected="0">
            <x v="0"/>
          </reference>
        </references>
      </pivotArea>
    </format>
    <format dxfId="452">
      <pivotArea field="18" dataOnly="0" labelOnly="1" grandCol="1" outline="0" axis="axisCol" fieldPosition="0">
        <references count="1">
          <reference field="4294967294" count="1" selected="0">
            <x v="0"/>
          </reference>
        </references>
      </pivotArea>
    </format>
    <format dxfId="451">
      <pivotArea dataOnly="0" labelOnly="1" outline="0" fieldPosition="0">
        <references count="2">
          <reference field="4294967294" count="1">
            <x v="0"/>
          </reference>
          <reference field="18" count="1" selected="0">
            <x v="0"/>
          </reference>
        </references>
      </pivotArea>
    </format>
    <format dxfId="450">
      <pivotArea dataOnly="0" labelOnly="1" outline="0" fieldPosition="0">
        <references count="2">
          <reference field="4294967294" count="1">
            <x v="0"/>
          </reference>
          <reference field="18" count="1" selected="0">
            <x v="1"/>
          </reference>
        </references>
      </pivotArea>
    </format>
    <format dxfId="449">
      <pivotArea field="4" type="button" dataOnly="0" labelOnly="1" outline="0" axis="axisRow" fieldPosition="0"/>
    </format>
    <format dxfId="448">
      <pivotArea field="18" dataOnly="0" labelOnly="1" grandCol="1" outline="0" axis="axisCol" fieldPosition="0">
        <references count="1">
          <reference field="4294967294" count="1" selected="0">
            <x v="0"/>
          </reference>
        </references>
      </pivotArea>
    </format>
    <format dxfId="447">
      <pivotArea field="18" dataOnly="0" labelOnly="1" grandCol="1" outline="0" axis="axisCol" fieldPosition="0">
        <references count="1">
          <reference field="4294967294" count="1" selected="0">
            <x v="0"/>
          </reference>
        </references>
      </pivotArea>
    </format>
    <format dxfId="446">
      <pivotArea dataOnly="0" labelOnly="1" outline="0" fieldPosition="0">
        <references count="2">
          <reference field="4294967294" count="1">
            <x v="0"/>
          </reference>
          <reference field="18" count="1" selected="0">
            <x v="0"/>
          </reference>
        </references>
      </pivotArea>
    </format>
    <format dxfId="445">
      <pivotArea dataOnly="0" labelOnly="1" outline="0" fieldPosition="0">
        <references count="2">
          <reference field="4294967294" count="1">
            <x v="0"/>
          </reference>
          <reference field="18" count="1" selected="0">
            <x v="1"/>
          </reference>
        </references>
      </pivotArea>
    </format>
    <format dxfId="444">
      <pivotArea type="all" dataOnly="0" outline="0" fieldPosition="0"/>
    </format>
    <format dxfId="443">
      <pivotArea outline="0" collapsedLevelsAreSubtotals="1" fieldPosition="0"/>
    </format>
    <format dxfId="442">
      <pivotArea type="origin" dataOnly="0" labelOnly="1" outline="0" fieldPosition="0"/>
    </format>
    <format dxfId="441">
      <pivotArea field="18" type="button" dataOnly="0" labelOnly="1" outline="0" axis="axisCol" fieldPosition="0"/>
    </format>
    <format dxfId="440">
      <pivotArea field="-2" type="button" dataOnly="0" labelOnly="1" outline="0" axis="axisCol" fieldPosition="1"/>
    </format>
    <format dxfId="439">
      <pivotArea type="topRight" dataOnly="0" labelOnly="1" outline="0" fieldPosition="0"/>
    </format>
    <format dxfId="438">
      <pivotArea field="4" type="button" dataOnly="0" labelOnly="1" outline="0" axis="axisRow" fieldPosition="0"/>
    </format>
    <format dxfId="437">
      <pivotArea dataOnly="0" labelOnly="1" fieldPosition="0">
        <references count="1">
          <reference field="4" count="0"/>
        </references>
      </pivotArea>
    </format>
    <format dxfId="436">
      <pivotArea dataOnly="0" labelOnly="1" grandRow="1" outline="0" fieldPosition="0"/>
    </format>
    <format dxfId="435">
      <pivotArea dataOnly="0" labelOnly="1" fieldPosition="0">
        <references count="1">
          <reference field="18" count="0"/>
        </references>
      </pivotArea>
    </format>
    <format dxfId="434">
      <pivotArea field="18" dataOnly="0" labelOnly="1" grandCol="1" outline="0" axis="axisCol" fieldPosition="0">
        <references count="1">
          <reference field="4294967294" count="1" selected="0">
            <x v="0"/>
          </reference>
        </references>
      </pivotArea>
    </format>
    <format dxfId="433">
      <pivotArea field="18" dataOnly="0" labelOnly="1" grandCol="1" outline="0" axis="axisCol" fieldPosition="0">
        <references count="1">
          <reference field="4294967294" count="1" selected="0">
            <x v="0"/>
          </reference>
        </references>
      </pivotArea>
    </format>
    <format dxfId="432">
      <pivotArea dataOnly="0" labelOnly="1" outline="0" fieldPosition="0">
        <references count="2">
          <reference field="4294967294" count="1">
            <x v="0"/>
          </reference>
          <reference field="18" count="1" selected="0">
            <x v="0"/>
          </reference>
        </references>
      </pivotArea>
    </format>
    <format dxfId="431">
      <pivotArea dataOnly="0" labelOnly="1" outline="0" fieldPosition="0">
        <references count="2">
          <reference field="4294967294" count="1">
            <x v="0"/>
          </reference>
          <reference field="18" count="1" selected="0">
            <x v="1"/>
          </reference>
        </references>
      </pivotArea>
    </format>
    <format dxfId="430">
      <pivotArea type="all" dataOnly="0" outline="0" fieldPosition="0"/>
    </format>
    <format dxfId="429">
      <pivotArea outline="0" collapsedLevelsAreSubtotals="1" fieldPosition="0"/>
    </format>
    <format dxfId="428">
      <pivotArea type="origin" dataOnly="0" labelOnly="1" outline="0" fieldPosition="0"/>
    </format>
    <format dxfId="427">
      <pivotArea field="18" type="button" dataOnly="0" labelOnly="1" outline="0" axis="axisCol" fieldPosition="0"/>
    </format>
    <format dxfId="426">
      <pivotArea field="-2" type="button" dataOnly="0" labelOnly="1" outline="0" axis="axisCol" fieldPosition="1"/>
    </format>
    <format dxfId="425">
      <pivotArea type="topRight" dataOnly="0" labelOnly="1" outline="0" fieldPosition="0"/>
    </format>
    <format dxfId="424">
      <pivotArea field="4" type="button" dataOnly="0" labelOnly="1" outline="0" axis="axisRow" fieldPosition="0"/>
    </format>
    <format dxfId="423">
      <pivotArea dataOnly="0" labelOnly="1" grandRow="1" outline="0" fieldPosition="0"/>
    </format>
    <format dxfId="422">
      <pivotArea dataOnly="0" labelOnly="1" fieldPosition="0">
        <references count="1">
          <reference field="18" count="0"/>
        </references>
      </pivotArea>
    </format>
    <format dxfId="421">
      <pivotArea field="18" dataOnly="0" labelOnly="1" grandCol="1" outline="0" axis="axisCol" fieldPosition="0">
        <references count="1">
          <reference field="4294967294" count="1" selected="0">
            <x v="0"/>
          </reference>
        </references>
      </pivotArea>
    </format>
    <format dxfId="420">
      <pivotArea field="18" dataOnly="0" labelOnly="1" grandCol="1" outline="0" axis="axisCol" fieldPosition="0">
        <references count="1">
          <reference field="4294967294" count="1" selected="0">
            <x v="0"/>
          </reference>
        </references>
      </pivotArea>
    </format>
    <format dxfId="419">
      <pivotArea dataOnly="0" labelOnly="1" outline="0" fieldPosition="0">
        <references count="2">
          <reference field="4294967294" count="1">
            <x v="0"/>
          </reference>
          <reference field="18" count="1" selected="0">
            <x v="0"/>
          </reference>
        </references>
      </pivotArea>
    </format>
    <format dxfId="418">
      <pivotArea dataOnly="0" labelOnly="1" outline="0" fieldPosition="0">
        <references count="2">
          <reference field="4294967294" count="1">
            <x v="0"/>
          </reference>
          <reference field="18" count="1" selected="0">
            <x v="1"/>
          </reference>
        </references>
      </pivotArea>
    </format>
    <format dxfId="417">
      <pivotArea field="4" type="button" dataOnly="0" labelOnly="1" outline="0" axis="axisRow" fieldPosition="0"/>
    </format>
    <format dxfId="416">
      <pivotArea field="18" dataOnly="0" labelOnly="1" grandCol="1" outline="0" axis="axisCol" fieldPosition="0">
        <references count="1">
          <reference field="4294967294" count="1" selected="0">
            <x v="0"/>
          </reference>
        </references>
      </pivotArea>
    </format>
    <format dxfId="415">
      <pivotArea field="18" dataOnly="0" labelOnly="1" grandCol="1" outline="0" axis="axisCol" fieldPosition="0">
        <references count="1">
          <reference field="4294967294" count="1" selected="0">
            <x v="1"/>
          </reference>
        </references>
      </pivotArea>
    </format>
    <format dxfId="414">
      <pivotArea field="18" dataOnly="0" labelOnly="1" grandCol="1" outline="0" axis="axisCol" fieldPosition="0">
        <references count="1">
          <reference field="4294967294" count="1" selected="0">
            <x v="0"/>
          </reference>
        </references>
      </pivotArea>
    </format>
    <format dxfId="413">
      <pivotArea field="18" dataOnly="0" labelOnly="1" grandCol="1" outline="0" axis="axisCol" fieldPosition="0">
        <references count="1">
          <reference field="4294967294" count="1" selected="0">
            <x v="1"/>
          </reference>
        </references>
      </pivotArea>
    </format>
    <format dxfId="412">
      <pivotArea dataOnly="0" labelOnly="1" outline="0" fieldPosition="0">
        <references count="2">
          <reference field="4294967294" count="2">
            <x v="0"/>
            <x v="1"/>
          </reference>
          <reference field="18" count="1" selected="0">
            <x v="0"/>
          </reference>
        </references>
      </pivotArea>
    </format>
    <format dxfId="411">
      <pivotArea dataOnly="0" labelOnly="1" outline="0" fieldPosition="0">
        <references count="2">
          <reference field="4294967294" count="2">
            <x v="0"/>
            <x v="1"/>
          </reference>
          <reference field="18" count="1" selected="0">
            <x v="1"/>
          </reference>
        </references>
      </pivotArea>
    </format>
    <format dxfId="410">
      <pivotArea field="4" type="button" dataOnly="0" labelOnly="1" outline="0" axis="axisRow" fieldPosition="0"/>
    </format>
    <format dxfId="409">
      <pivotArea field="18" dataOnly="0" labelOnly="1" grandCol="1" outline="0" axis="axisCol" fieldPosition="0">
        <references count="1">
          <reference field="4294967294" count="1" selected="0">
            <x v="0"/>
          </reference>
        </references>
      </pivotArea>
    </format>
    <format dxfId="408">
      <pivotArea field="18" dataOnly="0" labelOnly="1" grandCol="1" outline="0" axis="axisCol" fieldPosition="0">
        <references count="1">
          <reference field="4294967294" count="1" selected="0">
            <x v="1"/>
          </reference>
        </references>
      </pivotArea>
    </format>
    <format dxfId="407">
      <pivotArea field="18" dataOnly="0" labelOnly="1" grandCol="1" outline="0" axis="axisCol" fieldPosition="0">
        <references count="1">
          <reference field="4294967294" count="1" selected="0">
            <x v="0"/>
          </reference>
        </references>
      </pivotArea>
    </format>
    <format dxfId="406">
      <pivotArea field="18" dataOnly="0" labelOnly="1" grandCol="1" outline="0" axis="axisCol" fieldPosition="0">
        <references count="1">
          <reference field="4294967294" count="1" selected="0">
            <x v="1"/>
          </reference>
        </references>
      </pivotArea>
    </format>
    <format dxfId="405">
      <pivotArea dataOnly="0" labelOnly="1" outline="0" fieldPosition="0">
        <references count="2">
          <reference field="4294967294" count="2">
            <x v="0"/>
            <x v="1"/>
          </reference>
          <reference field="18" count="1" selected="0">
            <x v="0"/>
          </reference>
        </references>
      </pivotArea>
    </format>
    <format dxfId="404">
      <pivotArea dataOnly="0" labelOnly="1" outline="0" fieldPosition="0">
        <references count="2">
          <reference field="4294967294" count="2">
            <x v="0"/>
            <x v="1"/>
          </reference>
          <reference field="18" count="1" selected="0">
            <x v="1"/>
          </reference>
        </references>
      </pivotArea>
    </format>
    <format dxfId="403">
      <pivotArea field="4" type="button" dataOnly="0" labelOnly="1" outline="0" axis="axisRow" fieldPosition="0"/>
    </format>
    <format dxfId="402">
      <pivotArea field="18" dataOnly="0" labelOnly="1" grandCol="1" outline="0" axis="axisCol" fieldPosition="0">
        <references count="1">
          <reference field="4294967294" count="1" selected="0">
            <x v="0"/>
          </reference>
        </references>
      </pivotArea>
    </format>
    <format dxfId="401">
      <pivotArea field="18" dataOnly="0" labelOnly="1" grandCol="1" outline="0" axis="axisCol" fieldPosition="0">
        <references count="1">
          <reference field="4294967294" count="1" selected="0">
            <x v="1"/>
          </reference>
        </references>
      </pivotArea>
    </format>
    <format dxfId="400">
      <pivotArea field="18" dataOnly="0" labelOnly="1" grandCol="1" outline="0" axis="axisCol" fieldPosition="0">
        <references count="1">
          <reference field="4294967294" count="1" selected="0">
            <x v="0"/>
          </reference>
        </references>
      </pivotArea>
    </format>
    <format dxfId="399">
      <pivotArea field="18" dataOnly="0" labelOnly="1" grandCol="1" outline="0" axis="axisCol" fieldPosition="0">
        <references count="1">
          <reference field="4294967294" count="1" selected="0">
            <x v="1"/>
          </reference>
        </references>
      </pivotArea>
    </format>
    <format dxfId="398">
      <pivotArea dataOnly="0" labelOnly="1" outline="0" fieldPosition="0">
        <references count="2">
          <reference field="4294967294" count="2">
            <x v="0"/>
            <x v="1"/>
          </reference>
          <reference field="18" count="1" selected="0">
            <x v="0"/>
          </reference>
        </references>
      </pivotArea>
    </format>
    <format dxfId="397">
      <pivotArea dataOnly="0" labelOnly="1" outline="0" fieldPosition="0">
        <references count="2">
          <reference field="4294967294" count="2">
            <x v="0"/>
            <x v="1"/>
          </reference>
          <reference field="18" count="1" selected="0">
            <x v="1"/>
          </reference>
        </references>
      </pivotArea>
    </format>
    <format dxfId="396">
      <pivotArea field="4" type="button" dataOnly="0" labelOnly="1" outline="0" axis="axisRow" fieldPosition="0"/>
    </format>
    <format dxfId="395">
      <pivotArea field="18" dataOnly="0" labelOnly="1" grandCol="1" outline="0" axis="axisCol" fieldPosition="0">
        <references count="1">
          <reference field="4294967294" count="1" selected="0">
            <x v="0"/>
          </reference>
        </references>
      </pivotArea>
    </format>
    <format dxfId="394">
      <pivotArea field="18" dataOnly="0" labelOnly="1" grandCol="1" outline="0" axis="axisCol" fieldPosition="0">
        <references count="1">
          <reference field="4294967294" count="1" selected="0">
            <x v="1"/>
          </reference>
        </references>
      </pivotArea>
    </format>
    <format dxfId="393">
      <pivotArea field="18" dataOnly="0" labelOnly="1" grandCol="1" outline="0" axis="axisCol" fieldPosition="0">
        <references count="1">
          <reference field="4294967294" count="1" selected="0">
            <x v="0"/>
          </reference>
        </references>
      </pivotArea>
    </format>
    <format dxfId="392">
      <pivotArea field="18" dataOnly="0" labelOnly="1" grandCol="1" outline="0" axis="axisCol" fieldPosition="0">
        <references count="1">
          <reference field="4294967294" count="1" selected="0">
            <x v="1"/>
          </reference>
        </references>
      </pivotArea>
    </format>
    <format dxfId="391">
      <pivotArea dataOnly="0" labelOnly="1" outline="0" fieldPosition="0">
        <references count="2">
          <reference field="4294967294" count="2">
            <x v="0"/>
            <x v="1"/>
          </reference>
          <reference field="18" count="1" selected="0">
            <x v="0"/>
          </reference>
        </references>
      </pivotArea>
    </format>
    <format dxfId="390">
      <pivotArea dataOnly="0" labelOnly="1" outline="0" fieldPosition="0">
        <references count="2">
          <reference field="4294967294" count="2">
            <x v="0"/>
            <x v="1"/>
          </reference>
          <reference field="18" count="1" selected="0">
            <x v="1"/>
          </reference>
        </references>
      </pivotArea>
    </format>
    <format dxfId="389">
      <pivotArea field="4" type="button" dataOnly="0" labelOnly="1" outline="0" axis="axisRow" fieldPosition="0"/>
    </format>
    <format dxfId="388">
      <pivotArea field="18" dataOnly="0" labelOnly="1" grandCol="1" outline="0" axis="axisCol" fieldPosition="0">
        <references count="1">
          <reference field="4294967294" count="1" selected="0">
            <x v="0"/>
          </reference>
        </references>
      </pivotArea>
    </format>
    <format dxfId="387">
      <pivotArea field="18" dataOnly="0" labelOnly="1" grandCol="1" outline="0" axis="axisCol" fieldPosition="0">
        <references count="1">
          <reference field="4294967294" count="1" selected="0">
            <x v="1"/>
          </reference>
        </references>
      </pivotArea>
    </format>
    <format dxfId="386">
      <pivotArea field="18" dataOnly="0" labelOnly="1" grandCol="1" outline="0" axis="axisCol" fieldPosition="0">
        <references count="1">
          <reference field="4294967294" count="1" selected="0">
            <x v="0"/>
          </reference>
        </references>
      </pivotArea>
    </format>
    <format dxfId="385">
      <pivotArea field="18" dataOnly="0" labelOnly="1" grandCol="1" outline="0" axis="axisCol" fieldPosition="0">
        <references count="1">
          <reference field="4294967294" count="1" selected="0">
            <x v="1"/>
          </reference>
        </references>
      </pivotArea>
    </format>
    <format dxfId="384">
      <pivotArea dataOnly="0" labelOnly="1" outline="0" fieldPosition="0">
        <references count="2">
          <reference field="4294967294" count="2">
            <x v="0"/>
            <x v="1"/>
          </reference>
          <reference field="18" count="1" selected="0">
            <x v="0"/>
          </reference>
        </references>
      </pivotArea>
    </format>
    <format dxfId="383">
      <pivotArea dataOnly="0" labelOnly="1" outline="0" fieldPosition="0">
        <references count="2">
          <reference field="4294967294" count="2">
            <x v="0"/>
            <x v="1"/>
          </reference>
          <reference field="18" count="1" selected="0">
            <x v="1"/>
          </reference>
        </references>
      </pivotArea>
    </format>
    <format dxfId="382">
      <pivotArea type="all" dataOnly="0" outline="0" fieldPosition="0"/>
    </format>
    <format dxfId="381">
      <pivotArea outline="0" collapsedLevelsAreSubtotals="1" fieldPosition="0"/>
    </format>
    <format dxfId="380">
      <pivotArea type="origin" dataOnly="0" labelOnly="1" outline="0" fieldPosition="0"/>
    </format>
    <format dxfId="379">
      <pivotArea field="18" type="button" dataOnly="0" labelOnly="1" outline="0" axis="axisCol" fieldPosition="0"/>
    </format>
    <format dxfId="378">
      <pivotArea field="-2" type="button" dataOnly="0" labelOnly="1" outline="0" axis="axisCol" fieldPosition="1"/>
    </format>
    <format dxfId="377">
      <pivotArea type="topRight" dataOnly="0" labelOnly="1" outline="0" fieldPosition="0"/>
    </format>
    <format dxfId="376">
      <pivotArea field="4" type="button" dataOnly="0" labelOnly="1" outline="0" axis="axisRow" fieldPosition="0"/>
    </format>
    <format dxfId="375">
      <pivotArea dataOnly="0" labelOnly="1" fieldPosition="0">
        <references count="1">
          <reference field="4" count="0"/>
        </references>
      </pivotArea>
    </format>
    <format dxfId="374">
      <pivotArea dataOnly="0" labelOnly="1" grandRow="1" outline="0" fieldPosition="0"/>
    </format>
    <format dxfId="373">
      <pivotArea dataOnly="0" labelOnly="1" fieldPosition="0">
        <references count="1">
          <reference field="18" count="0"/>
        </references>
      </pivotArea>
    </format>
    <format dxfId="372">
      <pivotArea field="18" dataOnly="0" labelOnly="1" grandCol="1" outline="0" axis="axisCol" fieldPosition="0">
        <references count="1">
          <reference field="4294967294" count="1" selected="0">
            <x v="0"/>
          </reference>
        </references>
      </pivotArea>
    </format>
    <format dxfId="371">
      <pivotArea field="18" dataOnly="0" labelOnly="1" grandCol="1" outline="0" axis="axisCol" fieldPosition="0">
        <references count="1">
          <reference field="4294967294" count="1" selected="0">
            <x v="1"/>
          </reference>
        </references>
      </pivotArea>
    </format>
    <format dxfId="370">
      <pivotArea field="18" dataOnly="0" labelOnly="1" grandCol="1" outline="0" axis="axisCol" fieldPosition="0">
        <references count="1">
          <reference field="4294967294" count="1" selected="0">
            <x v="0"/>
          </reference>
        </references>
      </pivotArea>
    </format>
    <format dxfId="369">
      <pivotArea field="18" dataOnly="0" labelOnly="1" grandCol="1" outline="0" axis="axisCol" fieldPosition="0">
        <references count="1">
          <reference field="4294967294" count="1" selected="0">
            <x v="1"/>
          </reference>
        </references>
      </pivotArea>
    </format>
    <format dxfId="368">
      <pivotArea dataOnly="0" labelOnly="1" outline="0" fieldPosition="0">
        <references count="2">
          <reference field="4294967294" count="2">
            <x v="0"/>
            <x v="1"/>
          </reference>
          <reference field="18" count="0" selected="0"/>
        </references>
      </pivotArea>
    </format>
    <format dxfId="367">
      <pivotArea type="all" dataOnly="0" outline="0" fieldPosition="0"/>
    </format>
    <format dxfId="366">
      <pivotArea outline="0" collapsedLevelsAreSubtotals="1" fieldPosition="0"/>
    </format>
    <format dxfId="365">
      <pivotArea type="origin" dataOnly="0" labelOnly="1" outline="0" fieldPosition="0"/>
    </format>
    <format dxfId="364">
      <pivotArea field="18" type="button" dataOnly="0" labelOnly="1" outline="0" axis="axisCol" fieldPosition="0"/>
    </format>
    <format dxfId="363">
      <pivotArea field="-2" type="button" dataOnly="0" labelOnly="1" outline="0" axis="axisCol" fieldPosition="1"/>
    </format>
    <format dxfId="362">
      <pivotArea type="topRight" dataOnly="0" labelOnly="1" outline="0" fieldPosition="0"/>
    </format>
    <format dxfId="361">
      <pivotArea field="4" type="button" dataOnly="0" labelOnly="1" outline="0" axis="axisRow" fieldPosition="0"/>
    </format>
    <format dxfId="360">
      <pivotArea dataOnly="0" labelOnly="1" fieldPosition="0">
        <references count="1">
          <reference field="4" count="0"/>
        </references>
      </pivotArea>
    </format>
    <format dxfId="359">
      <pivotArea dataOnly="0" labelOnly="1" grandRow="1" outline="0" fieldPosition="0"/>
    </format>
    <format dxfId="358">
      <pivotArea dataOnly="0" labelOnly="1" fieldPosition="0">
        <references count="1">
          <reference field="18" count="0"/>
        </references>
      </pivotArea>
    </format>
    <format dxfId="357">
      <pivotArea field="18" dataOnly="0" labelOnly="1" grandCol="1" outline="0" axis="axisCol" fieldPosition="0">
        <references count="1">
          <reference field="4294967294" count="1" selected="0">
            <x v="0"/>
          </reference>
        </references>
      </pivotArea>
    </format>
    <format dxfId="356">
      <pivotArea field="18" dataOnly="0" labelOnly="1" grandCol="1" outline="0" axis="axisCol" fieldPosition="0">
        <references count="1">
          <reference field="4294967294" count="1" selected="0">
            <x v="1"/>
          </reference>
        </references>
      </pivotArea>
    </format>
    <format dxfId="355">
      <pivotArea field="18" dataOnly="0" labelOnly="1" grandCol="1" outline="0" axis="axisCol" fieldPosition="0">
        <references count="1">
          <reference field="4294967294" count="1" selected="0">
            <x v="0"/>
          </reference>
        </references>
      </pivotArea>
    </format>
    <format dxfId="354">
      <pivotArea field="18" dataOnly="0" labelOnly="1" grandCol="1" outline="0" axis="axisCol" fieldPosition="0">
        <references count="1">
          <reference field="4294967294" count="1" selected="0">
            <x v="1"/>
          </reference>
        </references>
      </pivotArea>
    </format>
    <format dxfId="353">
      <pivotArea dataOnly="0" labelOnly="1" outline="0" fieldPosition="0">
        <references count="2">
          <reference field="4294967294" count="2">
            <x v="0"/>
            <x v="1"/>
          </reference>
          <reference field="18" count="0" selected="0"/>
        </references>
      </pivotArea>
    </format>
    <format dxfId="352">
      <pivotArea type="all" dataOnly="0" outline="0" fieldPosition="0"/>
    </format>
    <format dxfId="351">
      <pivotArea outline="0" collapsedLevelsAreSubtotals="1" fieldPosition="0"/>
    </format>
    <format dxfId="350">
      <pivotArea type="origin" dataOnly="0" labelOnly="1" outline="0" fieldPosition="0"/>
    </format>
    <format dxfId="349">
      <pivotArea field="18" type="button" dataOnly="0" labelOnly="1" outline="0" axis="axisCol" fieldPosition="0"/>
    </format>
    <format dxfId="348">
      <pivotArea field="-2" type="button" dataOnly="0" labelOnly="1" outline="0" axis="axisCol" fieldPosition="1"/>
    </format>
    <format dxfId="347">
      <pivotArea type="topRight" dataOnly="0" labelOnly="1" outline="0" fieldPosition="0"/>
    </format>
    <format dxfId="346">
      <pivotArea field="4" type="button" dataOnly="0" labelOnly="1" outline="0" axis="axisRow" fieldPosition="0"/>
    </format>
    <format dxfId="345">
      <pivotArea dataOnly="0" labelOnly="1" fieldPosition="0">
        <references count="1">
          <reference field="4" count="0"/>
        </references>
      </pivotArea>
    </format>
    <format dxfId="344">
      <pivotArea dataOnly="0" labelOnly="1" grandRow="1" outline="0" fieldPosition="0"/>
    </format>
    <format dxfId="343">
      <pivotArea dataOnly="0" labelOnly="1" fieldPosition="0">
        <references count="1">
          <reference field="18" count="0"/>
        </references>
      </pivotArea>
    </format>
    <format dxfId="342">
      <pivotArea field="18" dataOnly="0" labelOnly="1" grandCol="1" outline="0" axis="axisCol" fieldPosition="0">
        <references count="1">
          <reference field="4294967294" count="1" selected="0">
            <x v="0"/>
          </reference>
        </references>
      </pivotArea>
    </format>
    <format dxfId="341">
      <pivotArea field="18" dataOnly="0" labelOnly="1" grandCol="1" outline="0" axis="axisCol" fieldPosition="0">
        <references count="1">
          <reference field="4294967294" count="1" selected="0">
            <x v="1"/>
          </reference>
        </references>
      </pivotArea>
    </format>
    <format dxfId="340">
      <pivotArea field="18" dataOnly="0" labelOnly="1" grandCol="1" outline="0" axis="axisCol" fieldPosition="0">
        <references count="1">
          <reference field="4294967294" count="1" selected="0">
            <x v="0"/>
          </reference>
        </references>
      </pivotArea>
    </format>
    <format dxfId="339">
      <pivotArea field="18" dataOnly="0" labelOnly="1" grandCol="1" outline="0" axis="axisCol" fieldPosition="0">
        <references count="1">
          <reference field="4294967294" count="1" selected="0">
            <x v="1"/>
          </reference>
        </references>
      </pivotArea>
    </format>
    <format dxfId="338">
      <pivotArea dataOnly="0" labelOnly="1" outline="0" fieldPosition="0">
        <references count="2">
          <reference field="4294967294" count="2">
            <x v="0"/>
            <x v="1"/>
          </reference>
          <reference field="18" count="0" selected="0"/>
        </references>
      </pivotArea>
    </format>
    <format dxfId="337">
      <pivotArea type="all" dataOnly="0" outline="0" fieldPosition="0"/>
    </format>
    <format dxfId="336">
      <pivotArea outline="0" collapsedLevelsAreSubtotals="1" fieldPosition="0"/>
    </format>
    <format dxfId="335">
      <pivotArea type="origin" dataOnly="0" labelOnly="1" outline="0" fieldPosition="0"/>
    </format>
    <format dxfId="334">
      <pivotArea field="18" type="button" dataOnly="0" labelOnly="1" outline="0" axis="axisCol" fieldPosition="0"/>
    </format>
    <format dxfId="333">
      <pivotArea field="-2" type="button" dataOnly="0" labelOnly="1" outline="0" axis="axisCol" fieldPosition="1"/>
    </format>
    <format dxfId="332">
      <pivotArea type="topRight" dataOnly="0" labelOnly="1" outline="0" fieldPosition="0"/>
    </format>
    <format dxfId="331">
      <pivotArea field="4" type="button" dataOnly="0" labelOnly="1" outline="0" axis="axisRow" fieldPosition="0"/>
    </format>
    <format dxfId="330">
      <pivotArea dataOnly="0" labelOnly="1" fieldPosition="0">
        <references count="1">
          <reference field="4" count="0"/>
        </references>
      </pivotArea>
    </format>
    <format dxfId="329">
      <pivotArea dataOnly="0" labelOnly="1" grandRow="1" outline="0" fieldPosition="0"/>
    </format>
    <format dxfId="328">
      <pivotArea dataOnly="0" labelOnly="1" fieldPosition="0">
        <references count="1">
          <reference field="18" count="1">
            <x v="0"/>
          </reference>
        </references>
      </pivotArea>
    </format>
    <format dxfId="327">
      <pivotArea field="18" dataOnly="0" labelOnly="1" grandCol="1" outline="0" axis="axisCol" fieldPosition="0">
        <references count="1">
          <reference field="4294967294" count="1" selected="0">
            <x v="0"/>
          </reference>
        </references>
      </pivotArea>
    </format>
    <format dxfId="326">
      <pivotArea field="18" dataOnly="0" labelOnly="1" grandCol="1" outline="0" axis="axisCol" fieldPosition="0">
        <references count="1">
          <reference field="4294967294" count="1" selected="0">
            <x v="1"/>
          </reference>
        </references>
      </pivotArea>
    </format>
    <format dxfId="325">
      <pivotArea field="18" dataOnly="0" labelOnly="1" grandCol="1" outline="0" axis="axisCol" fieldPosition="0">
        <references count="1">
          <reference field="4294967294" count="1" selected="0">
            <x v="0"/>
          </reference>
        </references>
      </pivotArea>
    </format>
    <format dxfId="324">
      <pivotArea field="18" dataOnly="0" labelOnly="1" grandCol="1" outline="0" axis="axisCol" fieldPosition="0">
        <references count="1">
          <reference field="4294967294" count="1" selected="0">
            <x v="1"/>
          </reference>
        </references>
      </pivotArea>
    </format>
    <format dxfId="323">
      <pivotArea dataOnly="0" labelOnly="1" outline="0" fieldPosition="0">
        <references count="2">
          <reference field="4294967294" count="2">
            <x v="0"/>
            <x v="1"/>
          </reference>
          <reference field="18" count="1" selected="0">
            <x v="0"/>
          </reference>
        </references>
      </pivotArea>
    </format>
    <format dxfId="322">
      <pivotArea type="all" dataOnly="0" outline="0" fieldPosition="0"/>
    </format>
    <format dxfId="321">
      <pivotArea outline="0" collapsedLevelsAreSubtotals="1" fieldPosition="0"/>
    </format>
    <format dxfId="320">
      <pivotArea type="origin" dataOnly="0" labelOnly="1" outline="0" fieldPosition="0"/>
    </format>
    <format dxfId="319">
      <pivotArea field="18" type="button" dataOnly="0" labelOnly="1" outline="0" axis="axisCol" fieldPosition="0"/>
    </format>
    <format dxfId="318">
      <pivotArea field="-2" type="button" dataOnly="0" labelOnly="1" outline="0" axis="axisCol" fieldPosition="1"/>
    </format>
    <format dxfId="317">
      <pivotArea type="topRight" dataOnly="0" labelOnly="1" outline="0" fieldPosition="0"/>
    </format>
    <format dxfId="316">
      <pivotArea field="4" type="button" dataOnly="0" labelOnly="1" outline="0" axis="axisRow" fieldPosition="0"/>
    </format>
    <format dxfId="315">
      <pivotArea dataOnly="0" labelOnly="1" fieldPosition="0">
        <references count="1">
          <reference field="4" count="0"/>
        </references>
      </pivotArea>
    </format>
    <format dxfId="314">
      <pivotArea dataOnly="0" labelOnly="1" grandRow="1" outline="0" fieldPosition="0"/>
    </format>
    <format dxfId="313">
      <pivotArea dataOnly="0" labelOnly="1" fieldPosition="0">
        <references count="1">
          <reference field="18" count="1">
            <x v="0"/>
          </reference>
        </references>
      </pivotArea>
    </format>
    <format dxfId="312">
      <pivotArea field="18" dataOnly="0" labelOnly="1" grandCol="1" outline="0" axis="axisCol" fieldPosition="0">
        <references count="1">
          <reference field="4294967294" count="1" selected="0">
            <x v="0"/>
          </reference>
        </references>
      </pivotArea>
    </format>
    <format dxfId="311">
      <pivotArea field="18" dataOnly="0" labelOnly="1" grandCol="1" outline="0" axis="axisCol" fieldPosition="0">
        <references count="1">
          <reference field="4294967294" count="1" selected="0">
            <x v="1"/>
          </reference>
        </references>
      </pivotArea>
    </format>
    <format dxfId="310">
      <pivotArea field="18" dataOnly="0" labelOnly="1" grandCol="1" outline="0" axis="axisCol" fieldPosition="0">
        <references count="1">
          <reference field="4294967294" count="1" selected="0">
            <x v="0"/>
          </reference>
        </references>
      </pivotArea>
    </format>
    <format dxfId="309">
      <pivotArea field="18" dataOnly="0" labelOnly="1" grandCol="1" outline="0" axis="axisCol" fieldPosition="0">
        <references count="1">
          <reference field="4294967294" count="1" selected="0">
            <x v="1"/>
          </reference>
        </references>
      </pivotArea>
    </format>
    <format dxfId="308">
      <pivotArea dataOnly="0" labelOnly="1" outline="0" fieldPosition="0">
        <references count="2">
          <reference field="4294967294" count="2">
            <x v="0"/>
            <x v="1"/>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Dinámica5"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5:I16"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m="1" x="6"/>
        <item h="1" x="3"/>
        <item h="1"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11">
    <i>
      <x v="2"/>
    </i>
    <i>
      <x v="4"/>
    </i>
    <i>
      <x v="7"/>
    </i>
    <i>
      <x v="9"/>
    </i>
    <i>
      <x v="11"/>
    </i>
    <i>
      <x v="13"/>
    </i>
    <i>
      <x v="14"/>
    </i>
    <i>
      <x v="17"/>
    </i>
    <i>
      <x v="18"/>
    </i>
    <i>
      <x v="21"/>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9" numFmtId="171"/>
  </dataFields>
  <formats count="1">
    <format dxfId="306">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Dinámica4"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5:D31"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x="2"/>
        <item x="0"/>
        <item x="5"/>
        <item m="1" x="6"/>
        <item x="3"/>
        <item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26">
    <i>
      <x/>
    </i>
    <i>
      <x v="1"/>
    </i>
    <i>
      <x v="2"/>
    </i>
    <i>
      <x v="3"/>
    </i>
    <i>
      <x v="4"/>
    </i>
    <i>
      <x v="5"/>
    </i>
    <i>
      <x v="6"/>
    </i>
    <i>
      <x v="7"/>
    </i>
    <i>
      <x v="8"/>
    </i>
    <i>
      <x v="9"/>
    </i>
    <i>
      <x v="10"/>
    </i>
    <i>
      <x v="11"/>
    </i>
    <i>
      <x v="12"/>
    </i>
    <i>
      <x v="13"/>
    </i>
    <i>
      <x v="14"/>
    </i>
    <i>
      <x v="15"/>
    </i>
    <i>
      <x v="16"/>
    </i>
    <i>
      <x v="17"/>
    </i>
    <i>
      <x v="18"/>
    </i>
    <i>
      <x v="19"/>
    </i>
    <i>
      <x v="20"/>
    </i>
    <i>
      <x v="21"/>
    </i>
    <i>
      <x v="22"/>
    </i>
    <i>
      <x v="25"/>
    </i>
    <i>
      <x v="26"/>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19" numFmtId="171"/>
  </dataFields>
  <formats count="1">
    <format dxfId="307">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Dinámica2"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15"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x="1"/>
        <item x="0"/>
      </items>
    </pivotField>
    <pivotField showAll="0" defaultSubtotal="0"/>
    <pivotField dataField="1" numFmtId="1" showAll="0" defaultSubtotal="0"/>
  </pivotFields>
  <rowFields count="1">
    <field x="29"/>
  </rowFields>
  <rowItems count="9">
    <i>
      <x/>
    </i>
    <i>
      <x v="4"/>
    </i>
    <i>
      <x v="5"/>
    </i>
    <i>
      <x v="6"/>
    </i>
    <i>
      <x v="7"/>
    </i>
    <i>
      <x v="8"/>
    </i>
    <i>
      <x v="9"/>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25" baseItem="0"/>
    <dataField name="Suma de No. " fld="52" baseField="26" baseItem="0"/>
    <dataField name="Promedio de No. " fld="52" subtotal="average" baseField="26" baseItem="0" numFmtId="2"/>
  </dataFields>
  <formats count="26">
    <format dxfId="240">
      <pivotArea type="all" dataOnly="0" outline="0" fieldPosition="0"/>
    </format>
    <format dxfId="239">
      <pivotArea outline="0" collapsedLevelsAreSubtotals="1" fieldPosition="0"/>
    </format>
    <format dxfId="238">
      <pivotArea dataOnly="0" labelOnly="1" grandRow="1" outline="0" fieldPosition="0"/>
    </format>
    <format dxfId="237">
      <pivotArea dataOnly="0" labelOnly="1" outline="0" fieldPosition="0">
        <references count="1">
          <reference field="4294967294" count="1">
            <x v="0"/>
          </reference>
        </references>
      </pivotArea>
    </format>
    <format dxfId="236">
      <pivotArea outline="0" collapsedLevelsAreSubtotals="1" fieldPosition="0"/>
    </format>
    <format dxfId="235">
      <pivotArea dataOnly="0" labelOnly="1" outline="0" fieldPosition="0">
        <references count="1">
          <reference field="4294967294" count="1">
            <x v="0"/>
          </reference>
        </references>
      </pivotArea>
    </format>
    <format dxfId="234">
      <pivotArea dataOnly="0" labelOnly="1" outline="0" fieldPosition="0">
        <references count="1">
          <reference field="4294967294" count="1">
            <x v="0"/>
          </reference>
        </references>
      </pivotArea>
    </format>
    <format dxfId="233">
      <pivotArea dataOnly="0" labelOnly="1" outline="0" fieldPosition="0">
        <references count="1">
          <reference field="4294967294" count="1">
            <x v="0"/>
          </reference>
        </references>
      </pivotArea>
    </format>
    <format dxfId="232">
      <pivotArea outline="0" collapsedLevelsAreSubtotals="1" fieldPosition="0">
        <references count="1">
          <reference field="4294967294" count="1" selected="0">
            <x v="2"/>
          </reference>
        </references>
      </pivotArea>
    </format>
    <format dxfId="231">
      <pivotArea outline="0" collapsedLevelsAreSubtotals="1" fieldPosition="0">
        <references count="1">
          <reference field="4294967294" count="1" selected="0">
            <x v="2"/>
          </reference>
        </references>
      </pivotArea>
    </format>
    <format dxfId="230">
      <pivotArea field="29" type="button" dataOnly="0" labelOnly="1" outline="0" axis="axisRow" fieldPosition="0"/>
    </format>
    <format dxfId="229">
      <pivotArea dataOnly="0" labelOnly="1" outline="0" fieldPosition="0">
        <references count="1">
          <reference field="4294967294" count="3">
            <x v="0"/>
            <x v="1"/>
            <x v="2"/>
          </reference>
        </references>
      </pivotArea>
    </format>
    <format dxfId="228">
      <pivotArea field="29" type="button" dataOnly="0" labelOnly="1" outline="0" axis="axisRow" fieldPosition="0"/>
    </format>
    <format dxfId="227">
      <pivotArea dataOnly="0" labelOnly="1" outline="0" fieldPosition="0">
        <references count="1">
          <reference field="4294967294" count="3">
            <x v="0"/>
            <x v="1"/>
            <x v="2"/>
          </reference>
        </references>
      </pivotArea>
    </format>
    <format dxfId="226">
      <pivotArea type="all" dataOnly="0" outline="0" fieldPosition="0"/>
    </format>
    <format dxfId="225">
      <pivotArea outline="0" collapsedLevelsAreSubtotals="1" fieldPosition="0"/>
    </format>
    <format dxfId="224">
      <pivotArea field="29" type="button" dataOnly="0" labelOnly="1" outline="0" axis="axisRow" fieldPosition="0"/>
    </format>
    <format dxfId="223">
      <pivotArea dataOnly="0" labelOnly="1" fieldPosition="0">
        <references count="1">
          <reference field="29" count="8">
            <x v="0"/>
            <x v="4"/>
            <x v="5"/>
            <x v="6"/>
            <x v="7"/>
            <x v="8"/>
            <x v="9"/>
            <x v="12"/>
          </reference>
        </references>
      </pivotArea>
    </format>
    <format dxfId="222">
      <pivotArea dataOnly="0" labelOnly="1" grandRow="1" outline="0" fieldPosition="0"/>
    </format>
    <format dxfId="221">
      <pivotArea dataOnly="0" labelOnly="1" outline="0" fieldPosition="0">
        <references count="1">
          <reference field="4294967294" count="3">
            <x v="0"/>
            <x v="1"/>
            <x v="2"/>
          </reference>
        </references>
      </pivotArea>
    </format>
    <format dxfId="220">
      <pivotArea type="all" dataOnly="0" outline="0" fieldPosition="0"/>
    </format>
    <format dxfId="219">
      <pivotArea outline="0" collapsedLevelsAreSubtotals="1" fieldPosition="0"/>
    </format>
    <format dxfId="218">
      <pivotArea field="29" type="button" dataOnly="0" labelOnly="1" outline="0" axis="axisRow" fieldPosition="0"/>
    </format>
    <format dxfId="217">
      <pivotArea dataOnly="0" labelOnly="1" fieldPosition="0">
        <references count="1">
          <reference field="29" count="8">
            <x v="0"/>
            <x v="4"/>
            <x v="5"/>
            <x v="6"/>
            <x v="7"/>
            <x v="8"/>
            <x v="9"/>
            <x v="12"/>
          </reference>
        </references>
      </pivotArea>
    </format>
    <format dxfId="216">
      <pivotArea dataOnly="0" labelOnly="1" grandRow="1" outline="0" fieldPosition="0"/>
    </format>
    <format dxfId="215">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TablaDinámica4"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6:N13"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x="1"/>
        <item h="1" x="0"/>
      </items>
    </pivotField>
    <pivotField showAll="0" defaultSubtotal="0"/>
    <pivotField dataField="1" numFmtId="1" showAll="0" defaultSubtotal="0"/>
  </pivotFields>
  <rowFields count="1">
    <field x="29"/>
  </rowFields>
  <rowItems count="7">
    <i>
      <x v="5"/>
    </i>
    <i>
      <x v="6"/>
    </i>
    <i>
      <x v="7"/>
    </i>
    <i>
      <x v="8"/>
    </i>
    <i>
      <x v="9"/>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25" baseItem="0"/>
    <dataField name="Suma de No. _x000a_de días" fld="52" baseField="0" baseItem="0"/>
    <dataField name="Promedio de No. " fld="52" subtotal="average" baseField="26" baseItem="0" numFmtId="2"/>
  </dataFields>
  <formats count="35">
    <format dxfId="275">
      <pivotArea type="all" dataOnly="0" outline="0" fieldPosition="0"/>
    </format>
    <format dxfId="274">
      <pivotArea outline="0" collapsedLevelsAreSubtotals="1" fieldPosition="0"/>
    </format>
    <format dxfId="273">
      <pivotArea dataOnly="0" labelOnly="1" grandRow="1" outline="0" fieldPosition="0"/>
    </format>
    <format dxfId="272">
      <pivotArea dataOnly="0" labelOnly="1" outline="0" fieldPosition="0">
        <references count="1">
          <reference field="4294967294" count="1">
            <x v="0"/>
          </reference>
        </references>
      </pivotArea>
    </format>
    <format dxfId="271">
      <pivotArea outline="0" collapsedLevelsAreSubtotals="1" fieldPosition="0"/>
    </format>
    <format dxfId="270">
      <pivotArea dataOnly="0" labelOnly="1" outline="0" fieldPosition="0">
        <references count="1">
          <reference field="4294967294" count="1">
            <x v="0"/>
          </reference>
        </references>
      </pivotArea>
    </format>
    <format dxfId="269">
      <pivotArea dataOnly="0" labelOnly="1" outline="0" fieldPosition="0">
        <references count="1">
          <reference field="4294967294" count="1">
            <x v="0"/>
          </reference>
        </references>
      </pivotArea>
    </format>
    <format dxfId="268">
      <pivotArea dataOnly="0" labelOnly="1" outline="0" fieldPosition="0">
        <references count="1">
          <reference field="4294967294" count="1">
            <x v="0"/>
          </reference>
        </references>
      </pivotArea>
    </format>
    <format dxfId="267">
      <pivotArea field="29" grandRow="1" outline="0" collapsedLevelsAreSubtotals="1" axis="axisRow" fieldPosition="0">
        <references count="1">
          <reference field="4294967294" count="1" selected="0">
            <x v="2"/>
          </reference>
        </references>
      </pivotArea>
    </format>
    <format dxfId="266">
      <pivotArea field="29" grandRow="1" outline="0" collapsedLevelsAreSubtotals="1" axis="axisRow" fieldPosition="0">
        <references count="1">
          <reference field="4294967294" count="1" selected="0">
            <x v="2"/>
          </reference>
        </references>
      </pivotArea>
    </format>
    <format dxfId="265">
      <pivotArea field="29" grandRow="1" outline="0" collapsedLevelsAreSubtotals="1" axis="axisRow" fieldPosition="0">
        <references count="1">
          <reference field="4294967294" count="1" selected="0">
            <x v="2"/>
          </reference>
        </references>
      </pivotArea>
    </format>
    <format dxfId="264">
      <pivotArea field="29" grandRow="1" outline="0" collapsedLevelsAreSubtotals="1" axis="axisRow" fieldPosition="0">
        <references count="1">
          <reference field="4294967294" count="1" selected="0">
            <x v="2"/>
          </reference>
        </references>
      </pivotArea>
    </format>
    <format dxfId="263">
      <pivotArea field="29" grandRow="1" outline="0" collapsedLevelsAreSubtotals="1" axis="axisRow" fieldPosition="0">
        <references count="1">
          <reference field="4294967294" count="1" selected="0">
            <x v="2"/>
          </reference>
        </references>
      </pivotArea>
    </format>
    <format dxfId="262">
      <pivotArea field="29" grandRow="1" outline="0" collapsedLevelsAreSubtotals="1" axis="axisRow" fieldPosition="0">
        <references count="1">
          <reference field="4294967294" count="1" selected="0">
            <x v="2"/>
          </reference>
        </references>
      </pivotArea>
    </format>
    <format dxfId="261">
      <pivotArea field="29" grandRow="1" outline="0" collapsedLevelsAreSubtotals="1" axis="axisRow" fieldPosition="0">
        <references count="1">
          <reference field="4294967294" count="1" selected="0">
            <x v="2"/>
          </reference>
        </references>
      </pivotArea>
    </format>
    <format dxfId="260">
      <pivotArea field="29" grandRow="1" outline="0" collapsedLevelsAreSubtotals="1" axis="axisRow" fieldPosition="0">
        <references count="1">
          <reference field="4294967294" count="1" selected="0">
            <x v="2"/>
          </reference>
        </references>
      </pivotArea>
    </format>
    <format dxfId="259">
      <pivotArea collapsedLevelsAreSubtotals="1" fieldPosition="0">
        <references count="2">
          <reference field="4294967294" count="1" selected="0">
            <x v="2"/>
          </reference>
          <reference field="29" count="4">
            <x v="5"/>
            <x v="6"/>
            <x v="7"/>
            <x v="9"/>
          </reference>
        </references>
      </pivotArea>
    </format>
    <format dxfId="258">
      <pivotArea collapsedLevelsAreSubtotals="1" fieldPosition="0">
        <references count="2">
          <reference field="4294967294" count="1" selected="0">
            <x v="2"/>
          </reference>
          <reference field="29" count="4">
            <x v="5"/>
            <x v="6"/>
            <x v="7"/>
            <x v="9"/>
          </reference>
        </references>
      </pivotArea>
    </format>
    <format dxfId="257">
      <pivotArea outline="0" collapsedLevelsAreSubtotals="1" fieldPosition="0">
        <references count="1">
          <reference field="4294967294" count="1" selected="0">
            <x v="2"/>
          </reference>
        </references>
      </pivotArea>
    </format>
    <format dxfId="256">
      <pivotArea field="29" type="button" dataOnly="0" labelOnly="1" outline="0" axis="axisRow" fieldPosition="0"/>
    </format>
    <format dxfId="255">
      <pivotArea dataOnly="0" labelOnly="1" outline="0" fieldPosition="0">
        <references count="1">
          <reference field="4294967294" count="3">
            <x v="0"/>
            <x v="1"/>
            <x v="2"/>
          </reference>
        </references>
      </pivotArea>
    </format>
    <format dxfId="254">
      <pivotArea field="29" type="button" dataOnly="0" labelOnly="1" outline="0" axis="axisRow" fieldPosition="0"/>
    </format>
    <format dxfId="253">
      <pivotArea dataOnly="0" labelOnly="1" outline="0" fieldPosition="0">
        <references count="1">
          <reference field="4294967294" count="3">
            <x v="0"/>
            <x v="1"/>
            <x v="2"/>
          </reference>
        </references>
      </pivotArea>
    </format>
    <format dxfId="252">
      <pivotArea type="all" dataOnly="0" outline="0" fieldPosition="0"/>
    </format>
    <format dxfId="251">
      <pivotArea outline="0" collapsedLevelsAreSubtotals="1" fieldPosition="0"/>
    </format>
    <format dxfId="250">
      <pivotArea field="29" type="button" dataOnly="0" labelOnly="1" outline="0" axis="axisRow" fieldPosition="0"/>
    </format>
    <format dxfId="249">
      <pivotArea dataOnly="0" labelOnly="1" fieldPosition="0">
        <references count="1">
          <reference field="29" count="6">
            <x v="5"/>
            <x v="6"/>
            <x v="7"/>
            <x v="8"/>
            <x v="9"/>
            <x v="12"/>
          </reference>
        </references>
      </pivotArea>
    </format>
    <format dxfId="248">
      <pivotArea dataOnly="0" labelOnly="1" grandRow="1" outline="0" fieldPosition="0"/>
    </format>
    <format dxfId="247">
      <pivotArea dataOnly="0" labelOnly="1" outline="0" fieldPosition="0">
        <references count="1">
          <reference field="4294967294" count="3">
            <x v="0"/>
            <x v="1"/>
            <x v="2"/>
          </reference>
        </references>
      </pivotArea>
    </format>
    <format dxfId="246">
      <pivotArea type="all" dataOnly="0" outline="0" fieldPosition="0"/>
    </format>
    <format dxfId="245">
      <pivotArea outline="0" collapsedLevelsAreSubtotals="1" fieldPosition="0"/>
    </format>
    <format dxfId="244">
      <pivotArea field="29" type="button" dataOnly="0" labelOnly="1" outline="0" axis="axisRow" fieldPosition="0"/>
    </format>
    <format dxfId="243">
      <pivotArea dataOnly="0" labelOnly="1" fieldPosition="0">
        <references count="1">
          <reference field="29" count="6">
            <x v="5"/>
            <x v="6"/>
            <x v="7"/>
            <x v="8"/>
            <x v="9"/>
            <x v="12"/>
          </reference>
        </references>
      </pivotArea>
    </format>
    <format dxfId="242">
      <pivotArea dataOnly="0" labelOnly="1" grandRow="1" outline="0" fieldPosition="0"/>
    </format>
    <format dxfId="241">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TablaDinámica3"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6:I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h="1" x="1"/>
        <item x="0"/>
      </items>
    </pivotField>
    <pivotField showAll="0" defaultSubtotal="0"/>
    <pivotField dataField="1" numFmtId="1" showAll="0" defaultSubtotal="0"/>
  </pivotFields>
  <rowFields count="1">
    <field x="29"/>
  </rowFields>
  <rowItems count="8">
    <i>
      <x/>
    </i>
    <i>
      <x v="4"/>
    </i>
    <i>
      <x v="5"/>
    </i>
    <i>
      <x v="6"/>
    </i>
    <i>
      <x v="7"/>
    </i>
    <i>
      <x v="8"/>
    </i>
    <i>
      <x v="9"/>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25" baseItem="0"/>
    <dataField name="Suma de No. _x000a_de días" fld="52" baseField="0" baseItem="0"/>
    <dataField name="Promedio de No. " fld="52" subtotal="average" baseField="26" baseItem="0" numFmtId="2"/>
  </dataFields>
  <formats count="26">
    <format dxfId="301">
      <pivotArea type="all" dataOnly="0" outline="0" fieldPosition="0"/>
    </format>
    <format dxfId="300">
      <pivotArea outline="0" collapsedLevelsAreSubtotals="1" fieldPosition="0"/>
    </format>
    <format dxfId="299">
      <pivotArea dataOnly="0" labelOnly="1" grandRow="1" outline="0" fieldPosition="0"/>
    </format>
    <format dxfId="298">
      <pivotArea dataOnly="0" labelOnly="1" outline="0" fieldPosition="0">
        <references count="1">
          <reference field="4294967294" count="1">
            <x v="0"/>
          </reference>
        </references>
      </pivotArea>
    </format>
    <format dxfId="297">
      <pivotArea outline="0" collapsedLevelsAreSubtotals="1" fieldPosition="0"/>
    </format>
    <format dxfId="296">
      <pivotArea dataOnly="0" labelOnly="1" outline="0" fieldPosition="0">
        <references count="1">
          <reference field="4294967294" count="1">
            <x v="0"/>
          </reference>
        </references>
      </pivotArea>
    </format>
    <format dxfId="295">
      <pivotArea dataOnly="0" labelOnly="1" outline="0" fieldPosition="0">
        <references count="1">
          <reference field="4294967294" count="1">
            <x v="0"/>
          </reference>
        </references>
      </pivotArea>
    </format>
    <format dxfId="294">
      <pivotArea dataOnly="0" labelOnly="1" outline="0" fieldPosition="0">
        <references count="1">
          <reference field="4294967294" count="1">
            <x v="0"/>
          </reference>
        </references>
      </pivotArea>
    </format>
    <format dxfId="293">
      <pivotArea outline="0" collapsedLevelsAreSubtotals="1" fieldPosition="0">
        <references count="1">
          <reference field="4294967294" count="1" selected="0">
            <x v="2"/>
          </reference>
        </references>
      </pivotArea>
    </format>
    <format dxfId="292">
      <pivotArea outline="0" collapsedLevelsAreSubtotals="1" fieldPosition="0">
        <references count="1">
          <reference field="4294967294" count="1" selected="0">
            <x v="2"/>
          </reference>
        </references>
      </pivotArea>
    </format>
    <format dxfId="291">
      <pivotArea field="29" type="button" dataOnly="0" labelOnly="1" outline="0" axis="axisRow" fieldPosition="0"/>
    </format>
    <format dxfId="290">
      <pivotArea dataOnly="0" labelOnly="1" outline="0" fieldPosition="0">
        <references count="1">
          <reference field="4294967294" count="3">
            <x v="0"/>
            <x v="1"/>
            <x v="2"/>
          </reference>
        </references>
      </pivotArea>
    </format>
    <format dxfId="289">
      <pivotArea field="29" type="button" dataOnly="0" labelOnly="1" outline="0" axis="axisRow" fieldPosition="0"/>
    </format>
    <format dxfId="288">
      <pivotArea dataOnly="0" labelOnly="1" outline="0" fieldPosition="0">
        <references count="1">
          <reference field="4294967294" count="3">
            <x v="0"/>
            <x v="1"/>
            <x v="2"/>
          </reference>
        </references>
      </pivotArea>
    </format>
    <format dxfId="287">
      <pivotArea type="all" dataOnly="0" outline="0" fieldPosition="0"/>
    </format>
    <format dxfId="286">
      <pivotArea outline="0" collapsedLevelsAreSubtotals="1" fieldPosition="0"/>
    </format>
    <format dxfId="285">
      <pivotArea field="29" type="button" dataOnly="0" labelOnly="1" outline="0" axis="axisRow" fieldPosition="0"/>
    </format>
    <format dxfId="284">
      <pivotArea dataOnly="0" labelOnly="1" fieldPosition="0">
        <references count="1">
          <reference field="29" count="7">
            <x v="0"/>
            <x v="4"/>
            <x v="5"/>
            <x v="6"/>
            <x v="7"/>
            <x v="8"/>
            <x v="9"/>
          </reference>
        </references>
      </pivotArea>
    </format>
    <format dxfId="283">
      <pivotArea dataOnly="0" labelOnly="1" grandRow="1" outline="0" fieldPosition="0"/>
    </format>
    <format dxfId="282">
      <pivotArea dataOnly="0" labelOnly="1" outline="0" fieldPosition="0">
        <references count="1">
          <reference field="4294967294" count="3">
            <x v="0"/>
            <x v="1"/>
            <x v="2"/>
          </reference>
        </references>
      </pivotArea>
    </format>
    <format dxfId="281">
      <pivotArea type="all" dataOnly="0" outline="0" fieldPosition="0"/>
    </format>
    <format dxfId="280">
      <pivotArea outline="0" collapsedLevelsAreSubtotals="1" fieldPosition="0"/>
    </format>
    <format dxfId="279">
      <pivotArea field="29" type="button" dataOnly="0" labelOnly="1" outline="0" axis="axisRow" fieldPosition="0"/>
    </format>
    <format dxfId="278">
      <pivotArea dataOnly="0" labelOnly="1" fieldPosition="0">
        <references count="1">
          <reference field="29" count="7">
            <x v="0"/>
            <x v="4"/>
            <x v="5"/>
            <x v="6"/>
            <x v="7"/>
            <x v="8"/>
            <x v="9"/>
          </reference>
        </references>
      </pivotArea>
    </format>
    <format dxfId="277">
      <pivotArea dataOnly="0" labelOnly="1" grandRow="1" outline="0" fieldPosition="0"/>
    </format>
    <format dxfId="27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TablaDinámica6"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F6:I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h="1" x="1"/>
        <item x="0"/>
      </items>
    </pivotField>
    <pivotField showAll="0" defaultSubtotal="0"/>
    <pivotField dataField="1" numFmtId="1" showAll="0" defaultSubtotal="0"/>
  </pivotFields>
  <rowFields count="1">
    <field x="29"/>
  </rowFields>
  <rowItems count="8">
    <i>
      <x/>
    </i>
    <i>
      <x v="7"/>
    </i>
    <i>
      <x v="8"/>
    </i>
    <i>
      <x v="9"/>
    </i>
    <i>
      <x v="10"/>
    </i>
    <i>
      <x v="11"/>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4" baseItem="0"/>
    <dataField name="Suma de No. _x000a_de días" fld="52" baseField="0" baseItem="0"/>
    <dataField name="Promedio de No. " fld="52" subtotal="average" baseField="26" baseItem="0" numFmtId="4"/>
  </dataFields>
  <formats count="19">
    <format dxfId="178">
      <pivotArea type="all" dataOnly="0" outline="0" fieldPosition="0"/>
    </format>
    <format dxfId="177">
      <pivotArea outline="0" collapsedLevelsAreSubtotals="1" fieldPosition="0"/>
    </format>
    <format dxfId="176">
      <pivotArea dataOnly="0" labelOnly="1" grandRow="1" outline="0" fieldPosition="0"/>
    </format>
    <format dxfId="175">
      <pivotArea dataOnly="0" labelOnly="1" outline="0" fieldPosition="0">
        <references count="1">
          <reference field="4294967294" count="1">
            <x v="0"/>
          </reference>
        </references>
      </pivotArea>
    </format>
    <format dxfId="174">
      <pivotArea dataOnly="0" labelOnly="1" outline="0" fieldPosition="0">
        <references count="1">
          <reference field="4294967294" count="1">
            <x v="0"/>
          </reference>
        </references>
      </pivotArea>
    </format>
    <format dxfId="173">
      <pivotArea outline="0" collapsedLevelsAreSubtotals="1" fieldPosition="0"/>
    </format>
    <format dxfId="172">
      <pivotArea dataOnly="0" labelOnly="1" outline="0" fieldPosition="0">
        <references count="1">
          <reference field="4294967294" count="1">
            <x v="0"/>
          </reference>
        </references>
      </pivotArea>
    </format>
    <format dxfId="171">
      <pivotArea dataOnly="0" labelOnly="1" outline="0" fieldPosition="0">
        <references count="1">
          <reference field="4294967294" count="1">
            <x v="0"/>
          </reference>
        </references>
      </pivotArea>
    </format>
    <format dxfId="170">
      <pivotArea field="29" type="button" dataOnly="0" labelOnly="1" outline="0" axis="axisRow" fieldPosition="0"/>
    </format>
    <format dxfId="169">
      <pivotArea dataOnly="0" labelOnly="1" outline="0" fieldPosition="0">
        <references count="1">
          <reference field="4294967294" count="1">
            <x v="0"/>
          </reference>
        </references>
      </pivotArea>
    </format>
    <format dxfId="168">
      <pivotArea outline="0" collapsedLevelsAreSubtotals="1" fieldPosition="0">
        <references count="1">
          <reference field="4294967294" count="1" selected="0">
            <x v="2"/>
          </reference>
        </references>
      </pivotArea>
    </format>
    <format dxfId="167">
      <pivotArea outline="0" collapsedLevelsAreSubtotals="1" fieldPosition="0">
        <references count="1">
          <reference field="4294967294" count="1" selected="0">
            <x v="2"/>
          </reference>
        </references>
      </pivotArea>
    </format>
    <format dxfId="166">
      <pivotArea field="29" type="button" dataOnly="0" labelOnly="1" outline="0" axis="axisRow" fieldPosition="0"/>
    </format>
    <format dxfId="165">
      <pivotArea dataOnly="0" labelOnly="1" outline="0" fieldPosition="0">
        <references count="1">
          <reference field="4294967294" count="3">
            <x v="0"/>
            <x v="1"/>
            <x v="2"/>
          </reference>
        </references>
      </pivotArea>
    </format>
    <format dxfId="164">
      <pivotArea field="29" type="button" dataOnly="0" labelOnly="1" outline="0" axis="axisRow" fieldPosition="0"/>
    </format>
    <format dxfId="163">
      <pivotArea dataOnly="0" labelOnly="1" outline="0" fieldPosition="0">
        <references count="1">
          <reference field="4294967294" count="3">
            <x v="0"/>
            <x v="1"/>
            <x v="2"/>
          </reference>
        </references>
      </pivotArea>
    </format>
    <format dxfId="162">
      <pivotArea field="29" type="button" dataOnly="0" labelOnly="1" outline="0" axis="axisRow" fieldPosition="0"/>
    </format>
    <format dxfId="161">
      <pivotArea dataOnly="0" labelOnly="1" outline="0" fieldPosition="0">
        <references count="1">
          <reference field="4294967294" count="3">
            <x v="0"/>
            <x v="1"/>
            <x v="2"/>
          </reference>
        </references>
      </pivotArea>
    </format>
    <format dxfId="160">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TablaDinámica5"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D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showAll="0" defaultSubtotal="0">
      <items count="2">
        <item x="1"/>
        <item x="0"/>
      </items>
    </pivotField>
    <pivotField showAll="0" defaultSubtotal="0"/>
    <pivotField dataField="1" numFmtId="1" showAll="0" defaultSubtotal="0"/>
  </pivotFields>
  <rowFields count="1">
    <field x="29"/>
  </rowFields>
  <rowItems count="8">
    <i>
      <x/>
    </i>
    <i>
      <x v="7"/>
    </i>
    <i>
      <x v="8"/>
    </i>
    <i>
      <x v="9"/>
    </i>
    <i>
      <x v="10"/>
    </i>
    <i>
      <x v="11"/>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4" baseItem="0"/>
    <dataField name="Suma de No. _x000a_de días" fld="52" baseField="0" baseItem="0"/>
    <dataField name="Promedio de No. " fld="52" subtotal="average" baseField="26" baseItem="0" numFmtId="2"/>
  </dataFields>
  <formats count="18">
    <format dxfId="196">
      <pivotArea type="all" dataOnly="0" outline="0" fieldPosition="0"/>
    </format>
    <format dxfId="195">
      <pivotArea outline="0" collapsedLevelsAreSubtotals="1" fieldPosition="0"/>
    </format>
    <format dxfId="194">
      <pivotArea dataOnly="0" labelOnly="1" grandRow="1" outline="0" fieldPosition="0"/>
    </format>
    <format dxfId="193">
      <pivotArea dataOnly="0" labelOnly="1" outline="0" fieldPosition="0">
        <references count="1">
          <reference field="4294967294" count="1">
            <x v="0"/>
          </reference>
        </references>
      </pivotArea>
    </format>
    <format dxfId="192">
      <pivotArea dataOnly="0" labelOnly="1" outline="0" fieldPosition="0">
        <references count="1">
          <reference field="4294967294" count="1">
            <x v="0"/>
          </reference>
        </references>
      </pivotArea>
    </format>
    <format dxfId="191">
      <pivotArea outline="0" collapsedLevelsAreSubtotals="1" fieldPosition="0"/>
    </format>
    <format dxfId="190">
      <pivotArea dataOnly="0" labelOnly="1" outline="0" fieldPosition="0">
        <references count="1">
          <reference field="4294967294" count="1">
            <x v="0"/>
          </reference>
        </references>
      </pivotArea>
    </format>
    <format dxfId="189">
      <pivotArea dataOnly="0" labelOnly="1" outline="0" fieldPosition="0">
        <references count="1">
          <reference field="4294967294" count="1">
            <x v="0"/>
          </reference>
        </references>
      </pivotArea>
    </format>
    <format dxfId="188">
      <pivotArea field="29" type="button" dataOnly="0" labelOnly="1" outline="0" axis="axisRow" fieldPosition="0"/>
    </format>
    <format dxfId="187">
      <pivotArea dataOnly="0" labelOnly="1" outline="0" fieldPosition="0">
        <references count="1">
          <reference field="4294967294" count="1">
            <x v="0"/>
          </reference>
        </references>
      </pivotArea>
    </format>
    <format dxfId="186">
      <pivotArea field="29" type="button" dataOnly="0" labelOnly="1" outline="0" axis="axisRow" fieldPosition="0"/>
    </format>
    <format dxfId="185">
      <pivotArea dataOnly="0" labelOnly="1" outline="0" fieldPosition="0">
        <references count="1">
          <reference field="4294967294" count="3">
            <x v="0"/>
            <x v="1"/>
            <x v="2"/>
          </reference>
        </references>
      </pivotArea>
    </format>
    <format dxfId="184">
      <pivotArea field="29" type="button" dataOnly="0" labelOnly="1" outline="0" axis="axisRow" fieldPosition="0"/>
    </format>
    <format dxfId="183">
      <pivotArea dataOnly="0" labelOnly="1" outline="0" fieldPosition="0">
        <references count="1">
          <reference field="4294967294" count="3">
            <x v="0"/>
            <x v="1"/>
            <x v="2"/>
          </reference>
        </references>
      </pivotArea>
    </format>
    <format dxfId="182">
      <pivotArea field="29" type="button" dataOnly="0" labelOnly="1" outline="0" axis="axisRow" fieldPosition="0"/>
    </format>
    <format dxfId="181">
      <pivotArea dataOnly="0" labelOnly="1" outline="0" fieldPosition="0">
        <references count="1">
          <reference field="4294967294" count="3">
            <x v="0"/>
            <x v="1"/>
            <x v="2"/>
          </reference>
        </references>
      </pivotArea>
    </format>
    <format dxfId="180">
      <pivotArea outline="0" collapsedLevelsAreSubtotals="1" fieldPosition="0">
        <references count="1">
          <reference field="4294967294" count="1" selected="0">
            <x v="2"/>
          </reference>
        </references>
      </pivotArea>
    </format>
    <format dxfId="179">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TablaDinámica7"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6:N14"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axis="axisPage" multipleItemSelectionAllowed="1" showAll="0" defaultSubtotal="0">
      <items count="2">
        <item x="1"/>
        <item h="1" x="0"/>
      </items>
    </pivotField>
    <pivotField showAll="0" defaultSubtotal="0"/>
    <pivotField dataField="1" numFmtId="1" showAll="0" defaultSubtotal="0"/>
  </pivotFields>
  <rowFields count="1">
    <field x="29"/>
  </rowFields>
  <rowItems count="8">
    <i>
      <x/>
    </i>
    <i>
      <x v="7"/>
    </i>
    <i>
      <x v="8"/>
    </i>
    <i>
      <x v="9"/>
    </i>
    <i>
      <x v="10"/>
    </i>
    <i>
      <x v="11"/>
    </i>
    <i>
      <x v="12"/>
    </i>
    <i t="grand">
      <x/>
    </i>
  </rowItems>
  <colFields count="1">
    <field x="-2"/>
  </colFields>
  <colItems count="3">
    <i>
      <x/>
    </i>
    <i i="1">
      <x v="1"/>
    </i>
    <i i="2">
      <x v="2"/>
    </i>
  </colItems>
  <pageFields count="3">
    <pageField fld="18" hier="-1"/>
    <pageField fld="25" hier="-1"/>
    <pageField fld="50" hier="-1"/>
  </pageFields>
  <dataFields count="3">
    <dataField name="Cuenta de Ítem" fld="0" subtotal="count" baseField="4" baseItem="0"/>
    <dataField name="Suma de No. _x000a_de días" fld="52" baseField="0" baseItem="0"/>
    <dataField name="Promedio de No. " fld="52" subtotal="average" baseField="26" baseItem="0" numFmtId="4"/>
  </dataFields>
  <formats count="18">
    <format dxfId="214">
      <pivotArea type="all" dataOnly="0" outline="0" fieldPosition="0"/>
    </format>
    <format dxfId="213">
      <pivotArea outline="0" collapsedLevelsAreSubtotals="1" fieldPosition="0"/>
    </format>
    <format dxfId="212">
      <pivotArea dataOnly="0" labelOnly="1" grandRow="1" outline="0" fieldPosition="0"/>
    </format>
    <format dxfId="211">
      <pivotArea dataOnly="0" labelOnly="1" outline="0" fieldPosition="0">
        <references count="1">
          <reference field="4294967294" count="1">
            <x v="0"/>
          </reference>
        </references>
      </pivotArea>
    </format>
    <format dxfId="210">
      <pivotArea dataOnly="0" labelOnly="1" outline="0" fieldPosition="0">
        <references count="1">
          <reference field="4294967294" count="1">
            <x v="0"/>
          </reference>
        </references>
      </pivotArea>
    </format>
    <format dxfId="209">
      <pivotArea outline="0" collapsedLevelsAreSubtotals="1" fieldPosition="0"/>
    </format>
    <format dxfId="208">
      <pivotArea dataOnly="0" labelOnly="1" outline="0" fieldPosition="0">
        <references count="1">
          <reference field="4294967294" count="1">
            <x v="0"/>
          </reference>
        </references>
      </pivotArea>
    </format>
    <format dxfId="207">
      <pivotArea dataOnly="0" labelOnly="1" outline="0" fieldPosition="0">
        <references count="1">
          <reference field="4294967294" count="1">
            <x v="0"/>
          </reference>
        </references>
      </pivotArea>
    </format>
    <format dxfId="206">
      <pivotArea field="29" type="button" dataOnly="0" labelOnly="1" outline="0" axis="axisRow" fieldPosition="0"/>
    </format>
    <format dxfId="205">
      <pivotArea dataOnly="0" labelOnly="1" outline="0" fieldPosition="0">
        <references count="1">
          <reference field="4294967294" count="1">
            <x v="0"/>
          </reference>
        </references>
      </pivotArea>
    </format>
    <format dxfId="204">
      <pivotArea outline="0" collapsedLevelsAreSubtotals="1" fieldPosition="0">
        <references count="1">
          <reference field="4294967294" count="1" selected="0">
            <x v="2"/>
          </reference>
        </references>
      </pivotArea>
    </format>
    <format dxfId="203">
      <pivotArea field="29" type="button" dataOnly="0" labelOnly="1" outline="0" axis="axisRow" fieldPosition="0"/>
    </format>
    <format dxfId="202">
      <pivotArea dataOnly="0" labelOnly="1" outline="0" fieldPosition="0">
        <references count="1">
          <reference field="4294967294" count="3">
            <x v="0"/>
            <x v="1"/>
            <x v="2"/>
          </reference>
        </references>
      </pivotArea>
    </format>
    <format dxfId="201">
      <pivotArea field="29" type="button" dataOnly="0" labelOnly="1" outline="0" axis="axisRow" fieldPosition="0"/>
    </format>
    <format dxfId="200">
      <pivotArea dataOnly="0" labelOnly="1" outline="0" fieldPosition="0">
        <references count="1">
          <reference field="4294967294" count="3">
            <x v="0"/>
            <x v="1"/>
            <x v="2"/>
          </reference>
        </references>
      </pivotArea>
    </format>
    <format dxfId="199">
      <pivotArea field="29" type="button" dataOnly="0" labelOnly="1" outline="0" axis="axisRow" fieldPosition="0"/>
    </format>
    <format dxfId="198">
      <pivotArea dataOnly="0" labelOnly="1" outline="0" fieldPosition="0">
        <references count="1">
          <reference field="4294967294" count="3">
            <x v="0"/>
            <x v="1"/>
            <x v="2"/>
          </reference>
        </references>
      </pivotArea>
    </format>
    <format dxfId="197">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TablaDinámica9"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6:L15"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h="1" x="2"/>
        <item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h="1" x="0"/>
        <item x="5"/>
      </items>
    </pivotField>
    <pivotField showAll="0" defaultSubtotal="0"/>
    <pivotField showAll="0"/>
    <pivotField showAll="0"/>
    <pivotField axis="axisPage" multipleItemSelectionAllowed="1" showAll="0">
      <items count="10">
        <item x="1"/>
        <item x="2"/>
        <item x="4"/>
        <item x="0"/>
        <item x="3"/>
        <item x="5"/>
        <item x="6"/>
        <item x="7"/>
        <item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9">
    <i>
      <x/>
    </i>
    <i>
      <x v="4"/>
    </i>
    <i>
      <x v="5"/>
    </i>
    <i>
      <x v="6"/>
    </i>
    <i>
      <x v="7"/>
    </i>
    <i>
      <x v="8"/>
    </i>
    <i>
      <x v="9"/>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5" baseItem="3"/>
    <dataField name="Suma de Valor " fld="37" baseField="26" baseItem="0"/>
    <dataField name="Suma de Valor Ahorro" fld="40" baseField="26" baseItem="0"/>
  </dataFields>
  <formats count="53">
    <format dxfId="52">
      <pivotArea type="all" dataOnly="0" outline="0" fieldPosition="0"/>
    </format>
    <format dxfId="51">
      <pivotArea outline="0" collapsedLevelsAreSubtotals="1" fieldPosition="0"/>
    </format>
    <format dxfId="50">
      <pivotArea dataOnly="0" labelOnly="1" grandRow="1" outline="0" fieldPosition="0"/>
    </format>
    <format dxfId="49">
      <pivotArea dataOnly="0" labelOnly="1" outline="0" fieldPosition="0">
        <references count="1">
          <reference field="4294967294" count="1">
            <x v="0"/>
          </reference>
        </references>
      </pivotArea>
    </format>
    <format dxfId="48">
      <pivotArea dataOnly="0" labelOnly="1" outline="0" fieldPosition="0">
        <references count="1">
          <reference field="4294967294" count="1">
            <x v="0"/>
          </reference>
        </references>
      </pivotArea>
    </format>
    <format dxfId="47">
      <pivotArea dataOnly="0" labelOnly="1" outline="0" fieldPosition="0">
        <references count="1">
          <reference field="4294967294" count="1">
            <x v="0"/>
          </reference>
        </references>
      </pivotArea>
    </format>
    <format dxfId="46">
      <pivotArea outline="0" collapsedLevelsAreSubtotals="1" fieldPosition="0">
        <references count="1">
          <reference field="4294967294" count="1" selected="0">
            <x v="0"/>
          </reference>
        </references>
      </pivotArea>
    </format>
    <format dxfId="45">
      <pivotArea dataOnly="0" labelOnly="1" outline="0" fieldPosition="0">
        <references count="1">
          <reference field="4294967294" count="1">
            <x v="0"/>
          </reference>
        </references>
      </pivotArea>
    </format>
    <format dxfId="44">
      <pivotArea outline="0" collapsedLevelsAreSubtotals="1" fieldPosition="0">
        <references count="1">
          <reference field="4294967294" count="1" selected="0">
            <x v="0"/>
          </reference>
        </references>
      </pivotArea>
    </format>
    <format dxfId="43">
      <pivotArea dataOnly="0" labelOnly="1" outline="0" fieldPosition="0">
        <references count="1">
          <reference field="4294967294" count="1">
            <x v="0"/>
          </reference>
        </references>
      </pivotArea>
    </format>
    <format dxfId="42">
      <pivotArea type="all" dataOnly="0" outline="0" fieldPosition="0"/>
    </format>
    <format dxfId="41">
      <pivotArea outline="0" collapsedLevelsAreSubtotals="1" fieldPosition="0"/>
    </format>
    <format dxfId="40">
      <pivotArea dataOnly="0" labelOnly="1" grandRow="1" outline="0" fieldPosition="0"/>
    </format>
    <format dxfId="39">
      <pivotArea dataOnly="0" labelOnly="1" outline="0" fieldPosition="0">
        <references count="1">
          <reference field="4294967294" count="1">
            <x v="0"/>
          </reference>
        </references>
      </pivotArea>
    </format>
    <format dxfId="38">
      <pivotArea field="29" type="button" dataOnly="0" labelOnly="1" outline="0" axis="axisRow" fieldPosition="0"/>
    </format>
    <format dxfId="37">
      <pivotArea dataOnly="0" labelOnly="1" outline="0" fieldPosition="0">
        <references count="1">
          <reference field="4294967294" count="1">
            <x v="0"/>
          </reference>
        </references>
      </pivotArea>
    </format>
    <format dxfId="36">
      <pivotArea field="29" type="button" dataOnly="0" labelOnly="1" outline="0" axis="axisRow" fieldPosition="0"/>
    </format>
    <format dxfId="35">
      <pivotArea dataOnly="0" labelOnly="1" outline="0" fieldPosition="0">
        <references count="1">
          <reference field="4294967294" count="1">
            <x v="0"/>
          </reference>
        </references>
      </pivotArea>
    </format>
    <format dxfId="34">
      <pivotArea type="all" dataOnly="0" outline="0" fieldPosition="0"/>
    </format>
    <format dxfId="33">
      <pivotArea outline="0" collapsedLevelsAreSubtotals="1" fieldPosition="0"/>
    </format>
    <format dxfId="32">
      <pivotArea field="29" type="button" dataOnly="0" labelOnly="1" outline="0" axis="axisRow" fieldPosition="0"/>
    </format>
    <format dxfId="31">
      <pivotArea dataOnly="0" labelOnly="1" fieldPosition="0">
        <references count="1">
          <reference field="29" count="1">
            <x v="2"/>
          </reference>
        </references>
      </pivotArea>
    </format>
    <format dxfId="30">
      <pivotArea dataOnly="0" labelOnly="1" grandRow="1" outline="0" fieldPosition="0"/>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1">
            <x v="0"/>
          </reference>
        </references>
      </pivotArea>
    </format>
    <format dxfId="27">
      <pivotArea collapsedLevelsAreSubtotals="1" fieldPosition="0">
        <references count="2">
          <reference field="4294967294" count="1" selected="0">
            <x v="1"/>
          </reference>
          <reference field="29" count="1">
            <x v="2"/>
          </reference>
        </references>
      </pivotArea>
    </format>
    <format dxfId="26">
      <pivotArea field="29" grandRow="1" outline="0" collapsedLevelsAreSubtotals="1" axis="axisRow" fieldPosition="0">
        <references count="1">
          <reference field="4294967294" count="1" selected="0">
            <x v="1"/>
          </reference>
        </references>
      </pivotArea>
    </format>
    <format dxfId="25">
      <pivotArea field="29" type="button" dataOnly="0" labelOnly="1" outline="0" axis="axisRow" fieldPosition="0"/>
    </format>
    <format dxfId="24">
      <pivotArea dataOnly="0" labelOnly="1" outline="0" fieldPosition="0">
        <references count="1">
          <reference field="4294967294" count="2">
            <x v="0"/>
            <x v="1"/>
          </reference>
        </references>
      </pivotArea>
    </format>
    <format dxfId="23">
      <pivotArea field="29" type="button" dataOnly="0" labelOnly="1" outline="0" axis="axisRow" fieldPosition="0"/>
    </format>
    <format dxfId="22">
      <pivotArea dataOnly="0" labelOnly="1" outline="0" fieldPosition="0">
        <references count="1">
          <reference field="4294967294" count="2">
            <x v="0"/>
            <x v="1"/>
          </reference>
        </references>
      </pivotArea>
    </format>
    <format dxfId="21">
      <pivotArea field="29" type="button" dataOnly="0" labelOnly="1" outline="0" axis="axisRow" fieldPosition="0"/>
    </format>
    <format dxfId="20">
      <pivotArea dataOnly="0" labelOnly="1" outline="0" fieldPosition="0">
        <references count="1">
          <reference field="4294967294" count="2">
            <x v="0"/>
            <x v="1"/>
          </reference>
        </references>
      </pivotArea>
    </format>
    <format dxfId="19">
      <pivotArea field="29" type="button" dataOnly="0" labelOnly="1" outline="0" axis="axisRow" fieldPosition="0"/>
    </format>
    <format dxfId="18">
      <pivotArea dataOnly="0" labelOnly="1" outline="0" fieldPosition="0">
        <references count="1">
          <reference field="4294967294" count="2">
            <x v="0"/>
            <x v="1"/>
          </reference>
        </references>
      </pivotArea>
    </format>
    <format dxfId="17">
      <pivotArea field="29" type="button" dataOnly="0" labelOnly="1" outline="0" axis="axisRow" fieldPosition="0"/>
    </format>
    <format dxfId="16">
      <pivotArea dataOnly="0" labelOnly="1" outline="0" fieldPosition="0">
        <references count="1">
          <reference field="4294967294" count="2">
            <x v="0"/>
            <x v="1"/>
          </reference>
        </references>
      </pivotArea>
    </format>
    <format dxfId="15">
      <pivotArea collapsedLevelsAreSubtotals="1" fieldPosition="0">
        <references count="2">
          <reference field="4294967294" count="1" selected="0">
            <x v="1"/>
          </reference>
          <reference field="29" count="1">
            <x v="1"/>
          </reference>
        </references>
      </pivotArea>
    </format>
    <format dxfId="14">
      <pivotArea collapsedLevelsAreSubtotals="1" fieldPosition="0">
        <references count="2">
          <reference field="4294967294" count="2" selected="0">
            <x v="2"/>
            <x v="3"/>
          </reference>
          <reference field="29" count="1">
            <x v="1"/>
          </reference>
        </references>
      </pivotArea>
    </format>
    <format dxfId="13">
      <pivotArea field="29" grandRow="1" outline="0" collapsedLevelsAreSubtotals="1" axis="axisRow" fieldPosition="0">
        <references count="1">
          <reference field="4294967294" count="2" selected="0">
            <x v="2"/>
            <x v="3"/>
          </reference>
        </references>
      </pivotArea>
    </format>
    <format dxfId="12">
      <pivotArea field="29" type="button" dataOnly="0" labelOnly="1" outline="0" axis="axisRow" fieldPosition="0"/>
    </format>
    <format dxfId="11">
      <pivotArea dataOnly="0" labelOnly="1" outline="0" fieldPosition="0">
        <references count="1">
          <reference field="4294967294" count="4">
            <x v="0"/>
            <x v="1"/>
            <x v="2"/>
            <x v="3"/>
          </reference>
        </references>
      </pivotArea>
    </format>
    <format dxfId="10">
      <pivotArea field="29" type="button" dataOnly="0" labelOnly="1" outline="0" axis="axisRow" fieldPosition="0"/>
    </format>
    <format dxfId="9">
      <pivotArea dataOnly="0" labelOnly="1" outline="0" fieldPosition="0">
        <references count="1">
          <reference field="4294967294" count="4">
            <x v="0"/>
            <x v="1"/>
            <x v="2"/>
            <x v="3"/>
          </reference>
        </references>
      </pivotArea>
    </format>
    <format dxfId="8">
      <pivotArea field="29" type="button" dataOnly="0" labelOnly="1" outline="0" axis="axisRow" fieldPosition="0"/>
    </format>
    <format dxfId="7">
      <pivotArea dataOnly="0" labelOnly="1" outline="0" fieldPosition="0">
        <references count="1">
          <reference field="4294967294" count="4">
            <x v="0"/>
            <x v="1"/>
            <x v="2"/>
            <x v="3"/>
          </reference>
        </references>
      </pivotArea>
    </format>
    <format dxfId="6">
      <pivotArea field="29" type="button" dataOnly="0" labelOnly="1" outline="0" axis="axisRow" fieldPosition="0"/>
    </format>
    <format dxfId="5">
      <pivotArea dataOnly="0" labelOnly="1" outline="0" fieldPosition="0">
        <references count="1">
          <reference field="4294967294" count="4">
            <x v="0"/>
            <x v="1"/>
            <x v="2"/>
            <x v="3"/>
          </reference>
        </references>
      </pivotArea>
    </format>
    <format dxfId="4">
      <pivotArea dataOnly="0" labelOnly="1" outline="0" fieldPosition="0">
        <references count="1">
          <reference field="4294967294" count="1">
            <x v="3"/>
          </reference>
        </references>
      </pivotArea>
    </format>
    <format dxfId="3">
      <pivotArea collapsedLevelsAreSubtotals="1" fieldPosition="0">
        <references count="2">
          <reference field="4294967294" count="2" selected="0">
            <x v="2"/>
            <x v="3"/>
          </reference>
          <reference field="29" count="1">
            <x v="2"/>
          </reference>
        </references>
      </pivotArea>
    </format>
    <format dxfId="2">
      <pivotArea collapsedLevelsAreSubtotals="1" fieldPosition="0">
        <references count="2">
          <reference field="4294967294" count="3" selected="0">
            <x v="1"/>
            <x v="2"/>
            <x v="3"/>
          </reference>
          <reference field="29" count="1">
            <x v="5"/>
          </reference>
        </references>
      </pivotArea>
    </format>
    <format dxfId="1">
      <pivotArea collapsedLevelsAreSubtotals="1" fieldPosition="0">
        <references count="2">
          <reference field="4294967294" count="3" selected="0">
            <x v="1"/>
            <x v="2"/>
            <x v="3"/>
          </reference>
          <reference field="29" count="1">
            <x v="6"/>
          </reference>
        </references>
      </pivotArea>
    </format>
    <format dxfId="0">
      <pivotArea collapsedLevelsAreSubtotals="1" fieldPosition="0">
        <references count="2">
          <reference field="4294967294" count="3" selected="0">
            <x v="1"/>
            <x v="2"/>
            <x v="3"/>
          </reference>
          <reference field="29"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TablaDinámica8"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E19"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x="2"/>
        <item x="0"/>
        <item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h="1" x="4"/>
        <item x="6"/>
        <item x="7"/>
        <item x="3"/>
        <item x="8"/>
        <item x="9"/>
        <item x="10"/>
        <item x="1"/>
        <item x="11"/>
        <item x="12"/>
        <item x="13"/>
        <item x="14"/>
        <item h="1" x="0"/>
        <item h="1" x="5"/>
      </items>
    </pivotField>
    <pivotField showAll="0" defaultSubtotal="0"/>
    <pivotField showAll="0"/>
    <pivotField showAll="0"/>
    <pivotField axis="axisPage" multipleItemSelectionAllowed="1" showAll="0">
      <items count="10">
        <item x="1"/>
        <item x="2"/>
        <item x="4"/>
        <item x="0"/>
        <item x="3"/>
        <item x="5"/>
        <item x="6"/>
        <item x="7"/>
        <item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13">
    <i>
      <x/>
    </i>
    <i>
      <x v="2"/>
    </i>
    <i>
      <x v="3"/>
    </i>
    <i>
      <x v="4"/>
    </i>
    <i>
      <x v="5"/>
    </i>
    <i>
      <x v="6"/>
    </i>
    <i>
      <x v="7"/>
    </i>
    <i>
      <x v="8"/>
    </i>
    <i>
      <x v="9"/>
    </i>
    <i>
      <x v="10"/>
    </i>
    <i>
      <x v="11"/>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6" baseItem="0"/>
    <dataField name="Suma de Valor " fld="37" baseField="26" baseItem="0"/>
    <dataField name="Suma de Valor Ahorro" fld="40" baseField="26" baseItem="0"/>
  </dataFields>
  <formats count="44">
    <format dxfId="96">
      <pivotArea type="all" dataOnly="0" outline="0" fieldPosition="0"/>
    </format>
    <format dxfId="95">
      <pivotArea outline="0" collapsedLevelsAreSubtotals="1" fieldPosition="0"/>
    </format>
    <format dxfId="94">
      <pivotArea dataOnly="0" labelOnly="1" grandRow="1" outline="0" fieldPosition="0"/>
    </format>
    <format dxfId="93">
      <pivotArea dataOnly="0" labelOnly="1" outline="0" fieldPosition="0">
        <references count="1">
          <reference field="4294967294" count="1">
            <x v="0"/>
          </reference>
        </references>
      </pivotArea>
    </format>
    <format dxfId="92">
      <pivotArea dataOnly="0" labelOnly="1" outline="0" fieldPosition="0">
        <references count="1">
          <reference field="4294967294" count="1">
            <x v="0"/>
          </reference>
        </references>
      </pivotArea>
    </format>
    <format dxfId="91">
      <pivotArea dataOnly="0" labelOnly="1" outline="0" fieldPosition="0">
        <references count="1">
          <reference field="4294967294" count="1">
            <x v="0"/>
          </reference>
        </references>
      </pivotArea>
    </format>
    <format dxfId="90">
      <pivotArea outline="0" collapsedLevelsAreSubtotals="1" fieldPosition="0">
        <references count="1">
          <reference field="4294967294" count="1" selected="0">
            <x v="0"/>
          </reference>
        </references>
      </pivotArea>
    </format>
    <format dxfId="89">
      <pivotArea dataOnly="0" labelOnly="1" outline="0" fieldPosition="0">
        <references count="1">
          <reference field="4294967294" count="1">
            <x v="0"/>
          </reference>
        </references>
      </pivotArea>
    </format>
    <format dxfId="88">
      <pivotArea outline="0" collapsedLevelsAreSubtotals="1" fieldPosition="0">
        <references count="1">
          <reference field="4294967294" count="1" selected="0">
            <x v="0"/>
          </reference>
        </references>
      </pivotArea>
    </format>
    <format dxfId="87">
      <pivotArea dataOnly="0" labelOnly="1" outline="0" fieldPosition="0">
        <references count="1">
          <reference field="4294967294" count="1">
            <x v="0"/>
          </reference>
        </references>
      </pivotArea>
    </format>
    <format dxfId="86">
      <pivotArea type="all" dataOnly="0" outline="0" fieldPosition="0"/>
    </format>
    <format dxfId="85">
      <pivotArea outline="0" collapsedLevelsAreSubtotals="1" fieldPosition="0"/>
    </format>
    <format dxfId="84">
      <pivotArea dataOnly="0" labelOnly="1" grandRow="1" outline="0" fieldPosition="0"/>
    </format>
    <format dxfId="83">
      <pivotArea dataOnly="0" labelOnly="1" outline="0" fieldPosition="0">
        <references count="1">
          <reference field="4294967294" count="1">
            <x v="0"/>
          </reference>
        </references>
      </pivotArea>
    </format>
    <format dxfId="82">
      <pivotArea field="29" type="button" dataOnly="0" labelOnly="1" outline="0" axis="axisRow" fieldPosition="0"/>
    </format>
    <format dxfId="81">
      <pivotArea dataOnly="0" labelOnly="1" outline="0" fieldPosition="0">
        <references count="1">
          <reference field="4294967294" count="1">
            <x v="0"/>
          </reference>
        </references>
      </pivotArea>
    </format>
    <format dxfId="80">
      <pivotArea type="all" dataOnly="0" outline="0" fieldPosition="0"/>
    </format>
    <format dxfId="79">
      <pivotArea outline="0" collapsedLevelsAreSubtotals="1" fieldPosition="0"/>
    </format>
    <format dxfId="78">
      <pivotArea field="29" type="button" dataOnly="0" labelOnly="1" outline="0" axis="axisRow" fieldPosition="0"/>
    </format>
    <format dxfId="77">
      <pivotArea dataOnly="0" labelOnly="1" fieldPosition="0">
        <references count="1">
          <reference field="29" count="2">
            <x v="1"/>
            <x v="2"/>
          </reference>
        </references>
      </pivotArea>
    </format>
    <format dxfId="76">
      <pivotArea dataOnly="0" labelOnly="1" grandRow="1" outline="0" fieldPosition="0"/>
    </format>
    <format dxfId="75">
      <pivotArea dataOnly="0" labelOnly="1" outline="0" fieldPosition="0">
        <references count="1">
          <reference field="4294967294" count="1">
            <x v="0"/>
          </reference>
        </references>
      </pivotArea>
    </format>
    <format dxfId="74">
      <pivotArea collapsedLevelsAreSubtotals="1" fieldPosition="0">
        <references count="2">
          <reference field="4294967294" count="1" selected="0">
            <x v="1"/>
          </reference>
          <reference field="29" count="0"/>
        </references>
      </pivotArea>
    </format>
    <format dxfId="73">
      <pivotArea field="29" grandRow="1" outline="0" collapsedLevelsAreSubtotals="1" axis="axisRow" fieldPosition="0">
        <references count="1">
          <reference field="4294967294" count="1" selected="0">
            <x v="1"/>
          </reference>
        </references>
      </pivotArea>
    </format>
    <format dxfId="72">
      <pivotArea collapsedLevelsAreSubtotals="1" fieldPosition="0">
        <references count="2">
          <reference field="4294967294" count="2" selected="0">
            <x v="2"/>
            <x v="3"/>
          </reference>
          <reference field="29" count="0"/>
        </references>
      </pivotArea>
    </format>
    <format dxfId="71">
      <pivotArea field="29" grandRow="1" outline="0" collapsedLevelsAreSubtotals="1" axis="axisRow" fieldPosition="0">
        <references count="1">
          <reference field="4294967294" count="2" selected="0">
            <x v="2"/>
            <x v="3"/>
          </reference>
        </references>
      </pivotArea>
    </format>
    <format dxfId="70">
      <pivotArea field="29" type="button" dataOnly="0" labelOnly="1" outline="0" axis="axisRow" fieldPosition="0"/>
    </format>
    <format dxfId="69">
      <pivotArea dataOnly="0" labelOnly="1" outline="0" fieldPosition="0">
        <references count="1">
          <reference field="4294967294" count="4">
            <x v="0"/>
            <x v="1"/>
            <x v="2"/>
            <x v="3"/>
          </reference>
        </references>
      </pivotArea>
    </format>
    <format dxfId="68">
      <pivotArea field="29" type="button" dataOnly="0" labelOnly="1" outline="0" axis="axisRow" fieldPosition="0"/>
    </format>
    <format dxfId="67">
      <pivotArea dataOnly="0" labelOnly="1" outline="0" fieldPosition="0">
        <references count="1">
          <reference field="4294967294" count="4">
            <x v="0"/>
            <x v="1"/>
            <x v="2"/>
            <x v="3"/>
          </reference>
        </references>
      </pivotArea>
    </format>
    <format dxfId="66">
      <pivotArea field="29" type="button" dataOnly="0" labelOnly="1" outline="0" axis="axisRow" fieldPosition="0"/>
    </format>
    <format dxfId="65">
      <pivotArea dataOnly="0" labelOnly="1" outline="0" fieldPosition="0">
        <references count="1">
          <reference field="4294967294" count="4">
            <x v="0"/>
            <x v="1"/>
            <x v="2"/>
            <x v="3"/>
          </reference>
        </references>
      </pivotArea>
    </format>
    <format dxfId="64">
      <pivotArea field="29" type="button" dataOnly="0" labelOnly="1" outline="0" axis="axisRow" fieldPosition="0"/>
    </format>
    <format dxfId="63">
      <pivotArea dataOnly="0" labelOnly="1" outline="0" fieldPosition="0">
        <references count="1">
          <reference field="4294967294" count="4">
            <x v="0"/>
            <x v="1"/>
            <x v="2"/>
            <x v="3"/>
          </reference>
        </references>
      </pivotArea>
    </format>
    <format dxfId="62">
      <pivotArea field="29" type="button" dataOnly="0" labelOnly="1" outline="0" axis="axisRow" fieldPosition="0"/>
    </format>
    <format dxfId="61">
      <pivotArea dataOnly="0" labelOnly="1" outline="0" fieldPosition="0">
        <references count="1">
          <reference field="4294967294" count="4">
            <x v="0"/>
            <x v="1"/>
            <x v="2"/>
            <x v="3"/>
          </reference>
        </references>
      </pivotArea>
    </format>
    <format dxfId="60">
      <pivotArea field="29" type="button" dataOnly="0" labelOnly="1" outline="0" axis="axisRow" fieldPosition="0"/>
    </format>
    <format dxfId="59">
      <pivotArea dataOnly="0" labelOnly="1" outline="0" fieldPosition="0">
        <references count="1">
          <reference field="4294967294" count="4">
            <x v="0"/>
            <x v="1"/>
            <x v="2"/>
            <x v="3"/>
          </reference>
        </references>
      </pivotArea>
    </format>
    <format dxfId="58">
      <pivotArea field="29" type="button" dataOnly="0" labelOnly="1" outline="0" axis="axisRow" fieldPosition="0"/>
    </format>
    <format dxfId="57">
      <pivotArea dataOnly="0" labelOnly="1" outline="0" fieldPosition="0">
        <references count="1">
          <reference field="4294967294" count="4">
            <x v="0"/>
            <x v="1"/>
            <x v="2"/>
            <x v="3"/>
          </reference>
        </references>
      </pivotArea>
    </format>
    <format dxfId="56">
      <pivotArea field="29" type="button" dataOnly="0" labelOnly="1" outline="0" axis="axisRow" fieldPosition="0"/>
    </format>
    <format dxfId="55">
      <pivotArea dataOnly="0" labelOnly="1" outline="0" fieldPosition="0">
        <references count="1">
          <reference field="4294967294" count="4">
            <x v="0"/>
            <x v="1"/>
            <x v="2"/>
            <x v="3"/>
          </reference>
        </references>
      </pivotArea>
    </format>
    <format dxfId="54">
      <pivotArea field="29" type="button" dataOnly="0" labelOnly="1" outline="0" axis="axisRow" fieldPosition="0"/>
    </format>
    <format dxfId="53">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3"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5:K40" firstHeaderRow="1" firstDataRow="3" firstDataCol="1" rowPageCount="1" colPageCount="1"/>
  <pivotFields count="53">
    <pivotField dataField="1" numFmtId="1" showAll="0"/>
    <pivotField showAll="0" defaultSubtotal="0"/>
    <pivotField showAll="0"/>
    <pivotField numFmtId="14" showAll="0"/>
    <pivotField showAll="0">
      <items count="14">
        <item x="0"/>
        <item x="2"/>
        <item x="3"/>
        <item x="5"/>
        <item x="6"/>
        <item x="7"/>
        <item x="9"/>
        <item x="10"/>
        <item x="11"/>
        <item x="1"/>
        <item x="4"/>
        <item x="8"/>
        <item x="12"/>
        <item t="default"/>
      </items>
    </pivotField>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9">
        <item x="4"/>
        <item x="2"/>
        <item x="6"/>
        <item x="7"/>
        <item m="1" x="16"/>
        <item x="3"/>
        <item x="8"/>
        <item x="9"/>
        <item x="10"/>
        <item m="1" x="18"/>
        <item x="1"/>
        <item x="11"/>
        <item x="12"/>
        <item x="13"/>
        <item x="14"/>
        <item m="1" x="17"/>
        <item h="1" x="0"/>
        <item h="1" m="1" x="15"/>
        <item h="1" x="5"/>
      </items>
    </pivotField>
    <pivotField showAll="0" defaultSubtotal="0"/>
    <pivotField showAll="0"/>
    <pivotField showAll="0"/>
    <pivotField showAll="0"/>
    <pivotField showAll="0"/>
    <pivotField showAll="0"/>
    <pivotField showAll="0" defaultSubtotal="0"/>
    <pivotField dataField="1"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13">
    <i>
      <x v="1"/>
    </i>
    <i>
      <x v="2"/>
    </i>
    <i>
      <x v="3"/>
    </i>
    <i>
      <x v="5"/>
    </i>
    <i>
      <x v="6"/>
    </i>
    <i>
      <x v="7"/>
    </i>
    <i>
      <x v="8"/>
    </i>
    <i>
      <x v="10"/>
    </i>
    <i>
      <x v="11"/>
    </i>
    <i>
      <x v="12"/>
    </i>
    <i>
      <x v="13"/>
    </i>
    <i>
      <x v="14"/>
    </i>
    <i t="grand">
      <x/>
    </i>
  </rowItems>
  <colFields count="2">
    <field x="18"/>
    <field x="-2"/>
  </colFields>
  <colItems count="10">
    <i>
      <x/>
      <x/>
    </i>
    <i r="1" i="1">
      <x v="1"/>
    </i>
    <i>
      <x v="1"/>
      <x/>
    </i>
    <i r="1" i="1">
      <x v="1"/>
    </i>
    <i>
      <x v="2"/>
      <x/>
    </i>
    <i r="1" i="1">
      <x v="1"/>
    </i>
    <i>
      <x v="3"/>
      <x/>
    </i>
    <i r="1" i="1">
      <x v="1"/>
    </i>
    <i t="grand">
      <x/>
    </i>
    <i t="grand" i="1">
      <x/>
    </i>
  </colItems>
  <pageFields count="1">
    <pageField fld="25" hier="-1"/>
  </pageFields>
  <dataFields count="2">
    <dataField name="Cuenta de Ítem" fld="0" subtotal="count" baseField="4" baseItem="0"/>
    <dataField name="Suma de Valor " fld="37" baseField="25" baseItem="1"/>
  </dataFields>
  <formats count="151">
    <format dxfId="644">
      <pivotArea type="all" dataOnly="0" outline="0" fieldPosition="0"/>
    </format>
    <format dxfId="643">
      <pivotArea outline="0" collapsedLevelsAreSubtotals="1" fieldPosition="0"/>
    </format>
    <format dxfId="642">
      <pivotArea type="origin" dataOnly="0" labelOnly="1" outline="0" fieldPosition="0"/>
    </format>
    <format dxfId="641">
      <pivotArea field="18" type="button" dataOnly="0" labelOnly="1" outline="0" axis="axisCol" fieldPosition="0"/>
    </format>
    <format dxfId="640">
      <pivotArea type="topRight" dataOnly="0" labelOnly="1" outline="0" fieldPosition="0"/>
    </format>
    <format dxfId="639">
      <pivotArea field="4" type="button" dataOnly="0" labelOnly="1" outline="0"/>
    </format>
    <format dxfId="638">
      <pivotArea dataOnly="0" labelOnly="1" grandRow="1" outline="0" fieldPosition="0"/>
    </format>
    <format dxfId="637">
      <pivotArea dataOnly="0" labelOnly="1" fieldPosition="0">
        <references count="1">
          <reference field="18" count="0"/>
        </references>
      </pivotArea>
    </format>
    <format dxfId="636">
      <pivotArea dataOnly="0" labelOnly="1" grandCol="1" outline="0" fieldPosition="0"/>
    </format>
    <format dxfId="635">
      <pivotArea field="4" type="button" dataOnly="0" labelOnly="1" outline="0"/>
    </format>
    <format dxfId="634">
      <pivotArea dataOnly="0" labelOnly="1" fieldPosition="0">
        <references count="1">
          <reference field="18" count="0"/>
        </references>
      </pivotArea>
    </format>
    <format dxfId="633">
      <pivotArea dataOnly="0" labelOnly="1" grandCol="1" outline="0" fieldPosition="0"/>
    </format>
    <format dxfId="632">
      <pivotArea field="4" type="button" dataOnly="0" labelOnly="1" outline="0"/>
    </format>
    <format dxfId="631">
      <pivotArea dataOnly="0" labelOnly="1" fieldPosition="0">
        <references count="1">
          <reference field="18" count="0"/>
        </references>
      </pivotArea>
    </format>
    <format dxfId="630">
      <pivotArea dataOnly="0" labelOnly="1" grandCol="1" outline="0" fieldPosition="0"/>
    </format>
    <format dxfId="629">
      <pivotArea type="origin" dataOnly="0" labelOnly="1" outline="0" fieldPosition="0"/>
    </format>
    <format dxfId="628">
      <pivotArea field="18" type="button" dataOnly="0" labelOnly="1" outline="0" axis="axisCol" fieldPosition="0"/>
    </format>
    <format dxfId="627">
      <pivotArea type="topRight" dataOnly="0" labelOnly="1" outline="0" fieldPosition="0"/>
    </format>
    <format dxfId="626">
      <pivotArea outline="0" collapsedLevelsAreSubtotals="1" fieldPosition="0"/>
    </format>
    <format dxfId="625">
      <pivotArea dataOnly="0" labelOnly="1" outline="0" fieldPosition="0">
        <references count="1">
          <reference field="25" count="0"/>
        </references>
      </pivotArea>
    </format>
    <format dxfId="624">
      <pivotArea field="18" type="button" dataOnly="0" labelOnly="1" outline="0" axis="axisCol" fieldPosition="0"/>
    </format>
    <format dxfId="623">
      <pivotArea field="-2" type="button" dataOnly="0" labelOnly="1" outline="0" axis="axisCol" fieldPosition="1"/>
    </format>
    <format dxfId="622">
      <pivotArea type="topRight" dataOnly="0" labelOnly="1" outline="0" fieldPosition="0"/>
    </format>
    <format dxfId="621">
      <pivotArea dataOnly="0" labelOnly="1" fieldPosition="0">
        <references count="1">
          <reference field="18" count="0"/>
        </references>
      </pivotArea>
    </format>
    <format dxfId="620">
      <pivotArea field="18" dataOnly="0" labelOnly="1" grandCol="1" outline="0" axis="axisCol" fieldPosition="0">
        <references count="1">
          <reference field="4294967294" count="1" selected="0">
            <x v="0"/>
          </reference>
        </references>
      </pivotArea>
    </format>
    <format dxfId="619">
      <pivotArea field="18" dataOnly="0" labelOnly="1" grandCol="1" outline="0" axis="axisCol" fieldPosition="0">
        <references count="1">
          <reference field="4294967294" count="1" selected="0">
            <x v="0"/>
          </reference>
        </references>
      </pivotArea>
    </format>
    <format dxfId="618">
      <pivotArea dataOnly="0" labelOnly="1" outline="0" fieldPosition="0">
        <references count="2">
          <reference field="4294967294" count="1">
            <x v="0"/>
          </reference>
          <reference field="18" count="1" selected="0">
            <x v="0"/>
          </reference>
        </references>
      </pivotArea>
    </format>
    <format dxfId="617">
      <pivotArea dataOnly="0" labelOnly="1" outline="0" fieldPosition="0">
        <references count="2">
          <reference field="4294967294" count="1">
            <x v="0"/>
          </reference>
          <reference field="18" count="1" selected="0">
            <x v="1"/>
          </reference>
        </references>
      </pivotArea>
    </format>
    <format dxfId="616">
      <pivotArea field="4" type="button" dataOnly="0" labelOnly="1" outline="0"/>
    </format>
    <format dxfId="615">
      <pivotArea field="18" dataOnly="0" labelOnly="1" grandCol="1" outline="0" axis="axisCol" fieldPosition="0">
        <references count="1">
          <reference field="4294967294" count="1" selected="0">
            <x v="0"/>
          </reference>
        </references>
      </pivotArea>
    </format>
    <format dxfId="614">
      <pivotArea field="18" dataOnly="0" labelOnly="1" grandCol="1" outline="0" axis="axisCol" fieldPosition="0">
        <references count="1">
          <reference field="4294967294" count="1" selected="0">
            <x v="0"/>
          </reference>
        </references>
      </pivotArea>
    </format>
    <format dxfId="613">
      <pivotArea dataOnly="0" labelOnly="1" outline="0" fieldPosition="0">
        <references count="2">
          <reference field="4294967294" count="1">
            <x v="0"/>
          </reference>
          <reference field="18" count="1" selected="0">
            <x v="0"/>
          </reference>
        </references>
      </pivotArea>
    </format>
    <format dxfId="612">
      <pivotArea dataOnly="0" labelOnly="1" outline="0" fieldPosition="0">
        <references count="2">
          <reference field="4294967294" count="1">
            <x v="0"/>
          </reference>
          <reference field="18" count="1" selected="0">
            <x v="1"/>
          </reference>
        </references>
      </pivotArea>
    </format>
    <format dxfId="611">
      <pivotArea field="4" type="button" dataOnly="0" labelOnly="1" outline="0"/>
    </format>
    <format dxfId="610">
      <pivotArea field="18" dataOnly="0" labelOnly="1" grandCol="1" outline="0" axis="axisCol" fieldPosition="0">
        <references count="1">
          <reference field="4294967294" count="1" selected="0">
            <x v="0"/>
          </reference>
        </references>
      </pivotArea>
    </format>
    <format dxfId="609">
      <pivotArea field="18" dataOnly="0" labelOnly="1" grandCol="1" outline="0" axis="axisCol" fieldPosition="0">
        <references count="1">
          <reference field="4294967294" count="1" selected="0">
            <x v="0"/>
          </reference>
        </references>
      </pivotArea>
    </format>
    <format dxfId="608">
      <pivotArea dataOnly="0" labelOnly="1" outline="0" fieldPosition="0">
        <references count="2">
          <reference field="4294967294" count="1">
            <x v="0"/>
          </reference>
          <reference field="18" count="1" selected="0">
            <x v="0"/>
          </reference>
        </references>
      </pivotArea>
    </format>
    <format dxfId="607">
      <pivotArea dataOnly="0" labelOnly="1" outline="0" fieldPosition="0">
        <references count="2">
          <reference field="4294967294" count="1">
            <x v="0"/>
          </reference>
          <reference field="18" count="1" selected="0">
            <x v="1"/>
          </reference>
        </references>
      </pivotArea>
    </format>
    <format dxfId="606">
      <pivotArea field="4" type="button" dataOnly="0" labelOnly="1" outline="0"/>
    </format>
    <format dxfId="605">
      <pivotArea field="18" dataOnly="0" labelOnly="1" grandCol="1" outline="0" axis="axisCol" fieldPosition="0">
        <references count="1">
          <reference field="4294967294" count="1" selected="0">
            <x v="0"/>
          </reference>
        </references>
      </pivotArea>
    </format>
    <format dxfId="604">
      <pivotArea field="18" dataOnly="0" labelOnly="1" grandCol="1" outline="0" axis="axisCol" fieldPosition="0">
        <references count="1">
          <reference field="4294967294" count="1" selected="0">
            <x v="0"/>
          </reference>
        </references>
      </pivotArea>
    </format>
    <format dxfId="603">
      <pivotArea dataOnly="0" labelOnly="1" outline="0" fieldPosition="0">
        <references count="2">
          <reference field="4294967294" count="1">
            <x v="0"/>
          </reference>
          <reference field="18" count="1" selected="0">
            <x v="0"/>
          </reference>
        </references>
      </pivotArea>
    </format>
    <format dxfId="602">
      <pivotArea dataOnly="0" labelOnly="1" outline="0" fieldPosition="0">
        <references count="2">
          <reference field="4294967294" count="1">
            <x v="0"/>
          </reference>
          <reference field="18" count="1" selected="0">
            <x v="1"/>
          </reference>
        </references>
      </pivotArea>
    </format>
    <format dxfId="601">
      <pivotArea field="4" type="button" dataOnly="0" labelOnly="1" outline="0"/>
    </format>
    <format dxfId="600">
      <pivotArea field="18" dataOnly="0" labelOnly="1" grandCol="1" outline="0" axis="axisCol" fieldPosition="0">
        <references count="1">
          <reference field="4294967294" count="1" selected="0">
            <x v="0"/>
          </reference>
        </references>
      </pivotArea>
    </format>
    <format dxfId="599">
      <pivotArea field="18" dataOnly="0" labelOnly="1" grandCol="1" outline="0" axis="axisCol" fieldPosition="0">
        <references count="1">
          <reference field="4294967294" count="1" selected="0">
            <x v="0"/>
          </reference>
        </references>
      </pivotArea>
    </format>
    <format dxfId="598">
      <pivotArea dataOnly="0" labelOnly="1" outline="0" fieldPosition="0">
        <references count="2">
          <reference field="4294967294" count="1">
            <x v="0"/>
          </reference>
          <reference field="18" count="1" selected="0">
            <x v="0"/>
          </reference>
        </references>
      </pivotArea>
    </format>
    <format dxfId="597">
      <pivotArea dataOnly="0" labelOnly="1" outline="0" fieldPosition="0">
        <references count="2">
          <reference field="4294967294" count="1">
            <x v="0"/>
          </reference>
          <reference field="18" count="1" selected="0">
            <x v="1"/>
          </reference>
        </references>
      </pivotArea>
    </format>
    <format dxfId="596">
      <pivotArea type="all" dataOnly="0" outline="0" fieldPosition="0"/>
    </format>
    <format dxfId="595">
      <pivotArea outline="0" collapsedLevelsAreSubtotals="1" fieldPosition="0"/>
    </format>
    <format dxfId="594">
      <pivotArea type="origin" dataOnly="0" labelOnly="1" outline="0" fieldPosition="0"/>
    </format>
    <format dxfId="593">
      <pivotArea field="18" type="button" dataOnly="0" labelOnly="1" outline="0" axis="axisCol" fieldPosition="0"/>
    </format>
    <format dxfId="592">
      <pivotArea field="-2" type="button" dataOnly="0" labelOnly="1" outline="0" axis="axisCol" fieldPosition="1"/>
    </format>
    <format dxfId="591">
      <pivotArea type="topRight" dataOnly="0" labelOnly="1" outline="0" fieldPosition="0"/>
    </format>
    <format dxfId="590">
      <pivotArea field="4" type="button" dataOnly="0" labelOnly="1" outline="0"/>
    </format>
    <format dxfId="589">
      <pivotArea dataOnly="0" labelOnly="1" grandRow="1" outline="0" fieldPosition="0"/>
    </format>
    <format dxfId="588">
      <pivotArea dataOnly="0" labelOnly="1" fieldPosition="0">
        <references count="1">
          <reference field="18" count="0"/>
        </references>
      </pivotArea>
    </format>
    <format dxfId="587">
      <pivotArea field="18" dataOnly="0" labelOnly="1" grandCol="1" outline="0" axis="axisCol" fieldPosition="0">
        <references count="1">
          <reference field="4294967294" count="1" selected="0">
            <x v="0"/>
          </reference>
        </references>
      </pivotArea>
    </format>
    <format dxfId="586">
      <pivotArea field="18" dataOnly="0" labelOnly="1" grandCol="1" outline="0" axis="axisCol" fieldPosition="0">
        <references count="1">
          <reference field="4294967294" count="1" selected="0">
            <x v="0"/>
          </reference>
        </references>
      </pivotArea>
    </format>
    <format dxfId="585">
      <pivotArea dataOnly="0" labelOnly="1" outline="0" fieldPosition="0">
        <references count="2">
          <reference field="4294967294" count="1">
            <x v="0"/>
          </reference>
          <reference field="18" count="1" selected="0">
            <x v="0"/>
          </reference>
        </references>
      </pivotArea>
    </format>
    <format dxfId="584">
      <pivotArea dataOnly="0" labelOnly="1" outline="0" fieldPosition="0">
        <references count="2">
          <reference field="4294967294" count="1">
            <x v="0"/>
          </reference>
          <reference field="18" count="1" selected="0">
            <x v="1"/>
          </reference>
        </references>
      </pivotArea>
    </format>
    <format dxfId="583">
      <pivotArea type="all" dataOnly="0" outline="0" fieldPosition="0"/>
    </format>
    <format dxfId="582">
      <pivotArea outline="0" collapsedLevelsAreSubtotals="1" fieldPosition="0"/>
    </format>
    <format dxfId="581">
      <pivotArea type="origin" dataOnly="0" labelOnly="1" outline="0" fieldPosition="0"/>
    </format>
    <format dxfId="580">
      <pivotArea field="18" type="button" dataOnly="0" labelOnly="1" outline="0" axis="axisCol" fieldPosition="0"/>
    </format>
    <format dxfId="579">
      <pivotArea field="-2" type="button" dataOnly="0" labelOnly="1" outline="0" axis="axisCol" fieldPosition="1"/>
    </format>
    <format dxfId="578">
      <pivotArea type="topRight" dataOnly="0" labelOnly="1" outline="0" fieldPosition="0"/>
    </format>
    <format dxfId="577">
      <pivotArea field="4" type="button" dataOnly="0" labelOnly="1" outline="0"/>
    </format>
    <format dxfId="576">
      <pivotArea dataOnly="0" labelOnly="1" grandRow="1" outline="0" fieldPosition="0"/>
    </format>
    <format dxfId="575">
      <pivotArea dataOnly="0" labelOnly="1" fieldPosition="0">
        <references count="1">
          <reference field="18" count="0"/>
        </references>
      </pivotArea>
    </format>
    <format dxfId="574">
      <pivotArea field="18" dataOnly="0" labelOnly="1" grandCol="1" outline="0" axis="axisCol" fieldPosition="0">
        <references count="1">
          <reference field="4294967294" count="1" selected="0">
            <x v="0"/>
          </reference>
        </references>
      </pivotArea>
    </format>
    <format dxfId="573">
      <pivotArea field="18" dataOnly="0" labelOnly="1" grandCol="1" outline="0" axis="axisCol" fieldPosition="0">
        <references count="1">
          <reference field="4294967294" count="1" selected="0">
            <x v="0"/>
          </reference>
        </references>
      </pivotArea>
    </format>
    <format dxfId="572">
      <pivotArea dataOnly="0" labelOnly="1" outline="0" fieldPosition="0">
        <references count="2">
          <reference field="4294967294" count="1">
            <x v="0"/>
          </reference>
          <reference field="18" count="1" selected="0">
            <x v="0"/>
          </reference>
        </references>
      </pivotArea>
    </format>
    <format dxfId="571">
      <pivotArea dataOnly="0" labelOnly="1" outline="0" fieldPosition="0">
        <references count="2">
          <reference field="4294967294" count="1">
            <x v="0"/>
          </reference>
          <reference field="18" count="1" selected="0">
            <x v="1"/>
          </reference>
        </references>
      </pivotArea>
    </format>
    <format dxfId="570">
      <pivotArea type="all" dataOnly="0" outline="0" fieldPosition="0"/>
    </format>
    <format dxfId="569">
      <pivotArea outline="0" collapsedLevelsAreSubtotals="1" fieldPosition="0"/>
    </format>
    <format dxfId="568">
      <pivotArea type="origin" dataOnly="0" labelOnly="1" outline="0" fieldPosition="0"/>
    </format>
    <format dxfId="567">
      <pivotArea field="18" type="button" dataOnly="0" labelOnly="1" outline="0" axis="axisCol" fieldPosition="0"/>
    </format>
    <format dxfId="566">
      <pivotArea field="-2" type="button" dataOnly="0" labelOnly="1" outline="0" axis="axisCol" fieldPosition="1"/>
    </format>
    <format dxfId="565">
      <pivotArea type="topRight" dataOnly="0" labelOnly="1" outline="0" fieldPosition="0"/>
    </format>
    <format dxfId="564">
      <pivotArea field="29" type="button" dataOnly="0" labelOnly="1" outline="0" axis="axisRow" fieldPosition="0"/>
    </format>
    <format dxfId="563">
      <pivotArea dataOnly="0" labelOnly="1" fieldPosition="0">
        <references count="1">
          <reference field="29" count="1">
            <x v="0"/>
          </reference>
        </references>
      </pivotArea>
    </format>
    <format dxfId="562">
      <pivotArea dataOnly="0" labelOnly="1" grandRow="1" outline="0" fieldPosition="0"/>
    </format>
    <format dxfId="561">
      <pivotArea dataOnly="0" labelOnly="1" fieldPosition="0">
        <references count="1">
          <reference field="18" count="0"/>
        </references>
      </pivotArea>
    </format>
    <format dxfId="560">
      <pivotArea field="18" dataOnly="0" labelOnly="1" grandCol="1" outline="0" axis="axisCol" fieldPosition="0">
        <references count="1">
          <reference field="4294967294" count="1" selected="0">
            <x v="0"/>
          </reference>
        </references>
      </pivotArea>
    </format>
    <format dxfId="559">
      <pivotArea field="18" dataOnly="0" labelOnly="1" grandCol="1" outline="0" axis="axisCol" fieldPosition="0">
        <references count="1">
          <reference field="4294967294" count="1" selected="0">
            <x v="1"/>
          </reference>
        </references>
      </pivotArea>
    </format>
    <format dxfId="558">
      <pivotArea field="18" dataOnly="0" labelOnly="1" grandCol="1" outline="0" axis="axisCol" fieldPosition="0">
        <references count="1">
          <reference field="4294967294" count="1" selected="0">
            <x v="0"/>
          </reference>
        </references>
      </pivotArea>
    </format>
    <format dxfId="557">
      <pivotArea field="18" dataOnly="0" labelOnly="1" grandCol="1" outline="0" axis="axisCol" fieldPosition="0">
        <references count="1">
          <reference field="4294967294" count="1" selected="0">
            <x v="1"/>
          </reference>
        </references>
      </pivotArea>
    </format>
    <format dxfId="556">
      <pivotArea dataOnly="0" labelOnly="1" outline="0" fieldPosition="0">
        <references count="2">
          <reference field="4294967294" count="2">
            <x v="0"/>
            <x v="1"/>
          </reference>
          <reference field="18" count="0" selected="0"/>
        </references>
      </pivotArea>
    </format>
    <format dxfId="555">
      <pivotArea type="all" dataOnly="0" outline="0" fieldPosition="0"/>
    </format>
    <format dxfId="554">
      <pivotArea outline="0" collapsedLevelsAreSubtotals="1" fieldPosition="0"/>
    </format>
    <format dxfId="553">
      <pivotArea type="origin" dataOnly="0" labelOnly="1" outline="0" fieldPosition="0"/>
    </format>
    <format dxfId="552">
      <pivotArea field="18" type="button" dataOnly="0" labelOnly="1" outline="0" axis="axisCol" fieldPosition="0"/>
    </format>
    <format dxfId="551">
      <pivotArea field="-2" type="button" dataOnly="0" labelOnly="1" outline="0" axis="axisCol" fieldPosition="1"/>
    </format>
    <format dxfId="550">
      <pivotArea type="topRight" dataOnly="0" labelOnly="1" outline="0" fieldPosition="0"/>
    </format>
    <format dxfId="549">
      <pivotArea field="29" type="button" dataOnly="0" labelOnly="1" outline="0" axis="axisRow" fieldPosition="0"/>
    </format>
    <format dxfId="548">
      <pivotArea dataOnly="0" labelOnly="1" fieldPosition="0">
        <references count="1">
          <reference field="29" count="1">
            <x v="0"/>
          </reference>
        </references>
      </pivotArea>
    </format>
    <format dxfId="547">
      <pivotArea dataOnly="0" labelOnly="1" grandRow="1" outline="0" fieldPosition="0"/>
    </format>
    <format dxfId="546">
      <pivotArea dataOnly="0" labelOnly="1" fieldPosition="0">
        <references count="1">
          <reference field="18" count="0"/>
        </references>
      </pivotArea>
    </format>
    <format dxfId="545">
      <pivotArea field="18" dataOnly="0" labelOnly="1" grandCol="1" outline="0" axis="axisCol" fieldPosition="0">
        <references count="1">
          <reference field="4294967294" count="1" selected="0">
            <x v="0"/>
          </reference>
        </references>
      </pivotArea>
    </format>
    <format dxfId="544">
      <pivotArea field="18" dataOnly="0" labelOnly="1" grandCol="1" outline="0" axis="axisCol" fieldPosition="0">
        <references count="1">
          <reference field="4294967294" count="1" selected="0">
            <x v="1"/>
          </reference>
        </references>
      </pivotArea>
    </format>
    <format dxfId="543">
      <pivotArea field="18" dataOnly="0" labelOnly="1" grandCol="1" outline="0" axis="axisCol" fieldPosition="0">
        <references count="1">
          <reference field="4294967294" count="1" selected="0">
            <x v="0"/>
          </reference>
        </references>
      </pivotArea>
    </format>
    <format dxfId="542">
      <pivotArea field="18" dataOnly="0" labelOnly="1" grandCol="1" outline="0" axis="axisCol" fieldPosition="0">
        <references count="1">
          <reference field="4294967294" count="1" selected="0">
            <x v="1"/>
          </reference>
        </references>
      </pivotArea>
    </format>
    <format dxfId="541">
      <pivotArea dataOnly="0" labelOnly="1" outline="0" fieldPosition="0">
        <references count="2">
          <reference field="4294967294" count="2">
            <x v="0"/>
            <x v="1"/>
          </reference>
          <reference field="18" count="0" selected="0"/>
        </references>
      </pivotArea>
    </format>
    <format dxfId="540">
      <pivotArea type="all" dataOnly="0" outline="0" fieldPosition="0"/>
    </format>
    <format dxfId="539">
      <pivotArea outline="0" collapsedLevelsAreSubtotals="1" fieldPosition="0"/>
    </format>
    <format dxfId="538">
      <pivotArea type="origin" dataOnly="0" labelOnly="1" outline="0" fieldPosition="0"/>
    </format>
    <format dxfId="537">
      <pivotArea field="18" type="button" dataOnly="0" labelOnly="1" outline="0" axis="axisCol" fieldPosition="0"/>
    </format>
    <format dxfId="536">
      <pivotArea field="-2" type="button" dataOnly="0" labelOnly="1" outline="0" axis="axisCol" fieldPosition="1"/>
    </format>
    <format dxfId="535">
      <pivotArea type="topRight" dataOnly="0" labelOnly="1" outline="0" fieldPosition="0"/>
    </format>
    <format dxfId="534">
      <pivotArea field="29" type="button" dataOnly="0" labelOnly="1" outline="0" axis="axisRow" fieldPosition="0"/>
    </format>
    <format dxfId="533">
      <pivotArea dataOnly="0" labelOnly="1" fieldPosition="0">
        <references count="1">
          <reference field="29" count="1">
            <x v="0"/>
          </reference>
        </references>
      </pivotArea>
    </format>
    <format dxfId="532">
      <pivotArea dataOnly="0" labelOnly="1" grandRow="1" outline="0" fieldPosition="0"/>
    </format>
    <format dxfId="531">
      <pivotArea dataOnly="0" labelOnly="1" fieldPosition="0">
        <references count="1">
          <reference field="18" count="0"/>
        </references>
      </pivotArea>
    </format>
    <format dxfId="530">
      <pivotArea field="18" dataOnly="0" labelOnly="1" grandCol="1" outline="0" axis="axisCol" fieldPosition="0">
        <references count="1">
          <reference field="4294967294" count="1" selected="0">
            <x v="0"/>
          </reference>
        </references>
      </pivotArea>
    </format>
    <format dxfId="529">
      <pivotArea field="18" dataOnly="0" labelOnly="1" grandCol="1" outline="0" axis="axisCol" fieldPosition="0">
        <references count="1">
          <reference field="4294967294" count="1" selected="0">
            <x v="1"/>
          </reference>
        </references>
      </pivotArea>
    </format>
    <format dxfId="528">
      <pivotArea field="18" dataOnly="0" labelOnly="1" grandCol="1" outline="0" axis="axisCol" fieldPosition="0">
        <references count="1">
          <reference field="4294967294" count="1" selected="0">
            <x v="0"/>
          </reference>
        </references>
      </pivotArea>
    </format>
    <format dxfId="527">
      <pivotArea field="18" dataOnly="0" labelOnly="1" grandCol="1" outline="0" axis="axisCol" fieldPosition="0">
        <references count="1">
          <reference field="4294967294" count="1" selected="0">
            <x v="1"/>
          </reference>
        </references>
      </pivotArea>
    </format>
    <format dxfId="526">
      <pivotArea dataOnly="0" labelOnly="1" outline="0" fieldPosition="0">
        <references count="2">
          <reference field="4294967294" count="2">
            <x v="0"/>
            <x v="1"/>
          </reference>
          <reference field="18" count="0" selected="0"/>
        </references>
      </pivotArea>
    </format>
    <format dxfId="525">
      <pivotArea type="all" dataOnly="0" outline="0" fieldPosition="0"/>
    </format>
    <format dxfId="524">
      <pivotArea outline="0" collapsedLevelsAreSubtotals="1" fieldPosition="0"/>
    </format>
    <format dxfId="523">
      <pivotArea type="origin" dataOnly="0" labelOnly="1" outline="0" fieldPosition="0"/>
    </format>
    <format dxfId="522">
      <pivotArea field="18" type="button" dataOnly="0" labelOnly="1" outline="0" axis="axisCol" fieldPosition="0"/>
    </format>
    <format dxfId="521">
      <pivotArea field="-2" type="button" dataOnly="0" labelOnly="1" outline="0" axis="axisCol" fieldPosition="1"/>
    </format>
    <format dxfId="520">
      <pivotArea type="topRight" dataOnly="0" labelOnly="1" outline="0" fieldPosition="0"/>
    </format>
    <format dxfId="519">
      <pivotArea field="29" type="button" dataOnly="0" labelOnly="1" outline="0" axis="axisRow" fieldPosition="0"/>
    </format>
    <format dxfId="518">
      <pivotArea dataOnly="0" labelOnly="1" fieldPosition="0">
        <references count="1">
          <reference field="29" count="0"/>
        </references>
      </pivotArea>
    </format>
    <format dxfId="517">
      <pivotArea dataOnly="0" labelOnly="1" grandRow="1" outline="0" fieldPosition="0"/>
    </format>
    <format dxfId="516">
      <pivotArea dataOnly="0" labelOnly="1" fieldPosition="0">
        <references count="1">
          <reference field="18" count="0"/>
        </references>
      </pivotArea>
    </format>
    <format dxfId="515">
      <pivotArea field="18" dataOnly="0" labelOnly="1" grandCol="1" outline="0" axis="axisCol" fieldPosition="0">
        <references count="1">
          <reference field="4294967294" count="1" selected="0">
            <x v="0"/>
          </reference>
        </references>
      </pivotArea>
    </format>
    <format dxfId="514">
      <pivotArea field="18" dataOnly="0" labelOnly="1" grandCol="1" outline="0" axis="axisCol" fieldPosition="0">
        <references count="1">
          <reference field="4294967294" count="1" selected="0">
            <x v="1"/>
          </reference>
        </references>
      </pivotArea>
    </format>
    <format dxfId="513">
      <pivotArea field="18" dataOnly="0" labelOnly="1" grandCol="1" outline="0" axis="axisCol" fieldPosition="0">
        <references count="1">
          <reference field="4294967294" count="1" selected="0">
            <x v="0"/>
          </reference>
        </references>
      </pivotArea>
    </format>
    <format dxfId="512">
      <pivotArea field="18" dataOnly="0" labelOnly="1" grandCol="1" outline="0" axis="axisCol" fieldPosition="0">
        <references count="1">
          <reference field="4294967294" count="1" selected="0">
            <x v="1"/>
          </reference>
        </references>
      </pivotArea>
    </format>
    <format dxfId="511">
      <pivotArea dataOnly="0" labelOnly="1" outline="0" fieldPosition="0">
        <references count="2">
          <reference field="4294967294" count="2">
            <x v="0"/>
            <x v="1"/>
          </reference>
          <reference field="18" count="1" selected="0">
            <x v="0"/>
          </reference>
        </references>
      </pivotArea>
    </format>
    <format dxfId="510">
      <pivotArea dataOnly="0" labelOnly="1" outline="0" fieldPosition="0">
        <references count="2">
          <reference field="4294967294" count="2">
            <x v="0"/>
            <x v="1"/>
          </reference>
          <reference field="18" count="1" selected="0">
            <x v="1"/>
          </reference>
        </references>
      </pivotArea>
    </format>
    <format dxfId="509">
      <pivotArea type="all" dataOnly="0" outline="0" fieldPosition="0"/>
    </format>
    <format dxfId="508">
      <pivotArea outline="0" collapsedLevelsAreSubtotals="1" fieldPosition="0"/>
    </format>
    <format dxfId="507">
      <pivotArea type="origin" dataOnly="0" labelOnly="1" outline="0" fieldPosition="0"/>
    </format>
    <format dxfId="506">
      <pivotArea field="18" type="button" dataOnly="0" labelOnly="1" outline="0" axis="axisCol" fieldPosition="0"/>
    </format>
    <format dxfId="505">
      <pivotArea field="-2" type="button" dataOnly="0" labelOnly="1" outline="0" axis="axisCol" fieldPosition="1"/>
    </format>
    <format dxfId="504">
      <pivotArea type="topRight" dataOnly="0" labelOnly="1" outline="0" fieldPosition="0"/>
    </format>
    <format dxfId="503">
      <pivotArea field="29" type="button" dataOnly="0" labelOnly="1" outline="0" axis="axisRow" fieldPosition="0"/>
    </format>
    <format dxfId="502">
      <pivotArea dataOnly="0" labelOnly="1" fieldPosition="0">
        <references count="1">
          <reference field="29" count="0"/>
        </references>
      </pivotArea>
    </format>
    <format dxfId="501">
      <pivotArea dataOnly="0" labelOnly="1" grandRow="1" outline="0" fieldPosition="0"/>
    </format>
    <format dxfId="500">
      <pivotArea dataOnly="0" labelOnly="1" fieldPosition="0">
        <references count="1">
          <reference field="18" count="0"/>
        </references>
      </pivotArea>
    </format>
    <format dxfId="499">
      <pivotArea field="18" dataOnly="0" labelOnly="1" grandCol="1" outline="0" axis="axisCol" fieldPosition="0">
        <references count="1">
          <reference field="4294967294" count="1" selected="0">
            <x v="0"/>
          </reference>
        </references>
      </pivotArea>
    </format>
    <format dxfId="498">
      <pivotArea field="18" dataOnly="0" labelOnly="1" grandCol="1" outline="0" axis="axisCol" fieldPosition="0">
        <references count="1">
          <reference field="4294967294" count="1" selected="0">
            <x v="1"/>
          </reference>
        </references>
      </pivotArea>
    </format>
    <format dxfId="497">
      <pivotArea field="18" dataOnly="0" labelOnly="1" grandCol="1" outline="0" axis="axisCol" fieldPosition="0">
        <references count="1">
          <reference field="4294967294" count="1" selected="0">
            <x v="0"/>
          </reference>
        </references>
      </pivotArea>
    </format>
    <format dxfId="496">
      <pivotArea field="18" dataOnly="0" labelOnly="1" grandCol="1" outline="0" axis="axisCol" fieldPosition="0">
        <references count="1">
          <reference field="4294967294" count="1" selected="0">
            <x v="1"/>
          </reference>
        </references>
      </pivotArea>
    </format>
    <format dxfId="495">
      <pivotArea dataOnly="0" labelOnly="1" outline="0" fieldPosition="0">
        <references count="2">
          <reference field="4294967294" count="2">
            <x v="0"/>
            <x v="1"/>
          </reference>
          <reference field="18" count="1" selected="0">
            <x v="0"/>
          </reference>
        </references>
      </pivotArea>
    </format>
    <format dxfId="494">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TablaDinámica1"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H29:L39"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h="1"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h="1" x="0"/>
        <item x="5"/>
      </items>
    </pivotField>
    <pivotField showAll="0" defaultSubtotal="0"/>
    <pivotField showAll="0"/>
    <pivotField showAll="0"/>
    <pivotField axis="axisPage" multipleItemSelectionAllowed="1" showAll="0">
      <items count="10">
        <item x="1"/>
        <item x="2"/>
        <item x="4"/>
        <item x="0"/>
        <item x="3"/>
        <item x="5"/>
        <item x="6"/>
        <item x="7"/>
        <item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10">
    <i>
      <x v="2"/>
    </i>
    <i>
      <x v="3"/>
    </i>
    <i>
      <x v="5"/>
    </i>
    <i>
      <x v="6"/>
    </i>
    <i>
      <x v="7"/>
    </i>
    <i>
      <x v="8"/>
    </i>
    <i>
      <x v="9"/>
    </i>
    <i>
      <x v="10"/>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5" baseItem="3"/>
    <dataField name="Suma de Valor " fld="37" baseField="26" baseItem="0"/>
    <dataField name="Suma de Valor Ahorro" fld="40" baseField="26" baseItem="0"/>
  </dataFields>
  <formats count="33">
    <format dxfId="129">
      <pivotArea type="all" dataOnly="0" outline="0" fieldPosition="0"/>
    </format>
    <format dxfId="128">
      <pivotArea outline="0" collapsedLevelsAreSubtotals="1" fieldPosition="0"/>
    </format>
    <format dxfId="127">
      <pivotArea dataOnly="0" labelOnly="1" grandRow="1" outline="0" fieldPosition="0"/>
    </format>
    <format dxfId="126">
      <pivotArea dataOnly="0" labelOnly="1" outline="0" fieldPosition="0">
        <references count="1">
          <reference field="4294967294" count="1">
            <x v="0"/>
          </reference>
        </references>
      </pivotArea>
    </format>
    <format dxfId="125">
      <pivotArea dataOnly="0" labelOnly="1" outline="0" fieldPosition="0">
        <references count="1">
          <reference field="4294967294" count="1">
            <x v="0"/>
          </reference>
        </references>
      </pivotArea>
    </format>
    <format dxfId="124">
      <pivotArea dataOnly="0" labelOnly="1" outline="0" fieldPosition="0">
        <references count="1">
          <reference field="4294967294" count="1">
            <x v="0"/>
          </reference>
        </references>
      </pivotArea>
    </format>
    <format dxfId="123">
      <pivotArea outline="0" collapsedLevelsAreSubtotals="1" fieldPosition="0">
        <references count="1">
          <reference field="4294967294" count="1" selected="0">
            <x v="0"/>
          </reference>
        </references>
      </pivotArea>
    </format>
    <format dxfId="122">
      <pivotArea dataOnly="0" labelOnly="1" outline="0" fieldPosition="0">
        <references count="1">
          <reference field="4294967294" count="1">
            <x v="0"/>
          </reference>
        </references>
      </pivotArea>
    </format>
    <format dxfId="121">
      <pivotArea outline="0" collapsedLevelsAreSubtotals="1" fieldPosition="0">
        <references count="1">
          <reference field="4294967294" count="1" selected="0">
            <x v="0"/>
          </reference>
        </references>
      </pivotArea>
    </format>
    <format dxfId="120">
      <pivotArea dataOnly="0" labelOnly="1" outline="0" fieldPosition="0">
        <references count="1">
          <reference field="4294967294" count="1">
            <x v="0"/>
          </reference>
        </references>
      </pivotArea>
    </format>
    <format dxfId="119">
      <pivotArea outline="0" collapsedLevelsAreSubtotals="1" fieldPosition="0">
        <references count="1">
          <reference field="4294967294" count="1" selected="0">
            <x v="0"/>
          </reference>
        </references>
      </pivotArea>
    </format>
    <format dxfId="118">
      <pivotArea dataOnly="0" labelOnly="1" outline="0" fieldPosition="0">
        <references count="1">
          <reference field="4294967294" count="1">
            <x v="0"/>
          </reference>
        </references>
      </pivotArea>
    </format>
    <format dxfId="117">
      <pivotArea type="all" dataOnly="0" outline="0" fieldPosition="0"/>
    </format>
    <format dxfId="116">
      <pivotArea outline="0" collapsedLevelsAreSubtotals="1" fieldPosition="0"/>
    </format>
    <format dxfId="115">
      <pivotArea dataOnly="0" labelOnly="1" grandRow="1" outline="0" fieldPosition="0"/>
    </format>
    <format dxfId="114">
      <pivotArea dataOnly="0" labelOnly="1" outline="0" fieldPosition="0">
        <references count="1">
          <reference field="4294967294" count="1">
            <x v="0"/>
          </reference>
        </references>
      </pivotArea>
    </format>
    <format dxfId="113">
      <pivotArea type="all" dataOnly="0" outline="0" fieldPosition="0"/>
    </format>
    <format dxfId="112">
      <pivotArea outline="0" collapsedLevelsAreSubtotals="1" fieldPosition="0"/>
    </format>
    <format dxfId="111">
      <pivotArea field="29" type="button" dataOnly="0" labelOnly="1" outline="0" axis="axisRow" fieldPosition="0"/>
    </format>
    <format dxfId="110">
      <pivotArea dataOnly="0" labelOnly="1" fieldPosition="0">
        <references count="1">
          <reference field="29" count="1">
            <x v="2"/>
          </reference>
        </references>
      </pivotArea>
    </format>
    <format dxfId="109">
      <pivotArea dataOnly="0" labelOnly="1" grandRow="1" outline="0" fieldPosition="0"/>
    </format>
    <format dxfId="108">
      <pivotArea dataOnly="0" labelOnly="1" outline="0" fieldPosition="0">
        <references count="1">
          <reference field="4294967294" count="1">
            <x v="0"/>
          </reference>
        </references>
      </pivotArea>
    </format>
    <format dxfId="107">
      <pivotArea collapsedLevelsAreSubtotals="1" fieldPosition="0">
        <references count="2">
          <reference field="4294967294" count="1" selected="0">
            <x v="1"/>
          </reference>
          <reference field="29" count="1">
            <x v="2"/>
          </reference>
        </references>
      </pivotArea>
    </format>
    <format dxfId="106">
      <pivotArea field="29" grandRow="1" outline="0" collapsedLevelsAreSubtotals="1" axis="axisRow" fieldPosition="0">
        <references count="1">
          <reference field="4294967294" count="1" selected="0">
            <x v="1"/>
          </reference>
        </references>
      </pivotArea>
    </format>
    <format dxfId="105">
      <pivotArea field="29" type="button" dataOnly="0" labelOnly="1" outline="0" axis="axisRow" fieldPosition="0"/>
    </format>
    <format dxfId="104">
      <pivotArea dataOnly="0" labelOnly="1" outline="0" fieldPosition="0">
        <references count="1">
          <reference field="4294967294" count="2">
            <x v="0"/>
            <x v="1"/>
          </reference>
        </references>
      </pivotArea>
    </format>
    <format dxfId="103">
      <pivotArea field="29" type="button" dataOnly="0" labelOnly="1" outline="0" axis="axisRow" fieldPosition="0"/>
    </format>
    <format dxfId="102">
      <pivotArea dataOnly="0" labelOnly="1" outline="0" fieldPosition="0">
        <references count="1">
          <reference field="4294967294" count="2">
            <x v="0"/>
            <x v="1"/>
          </reference>
        </references>
      </pivotArea>
    </format>
    <format dxfId="101">
      <pivotArea field="29" grandRow="1" outline="0" collapsedLevelsAreSubtotals="1" axis="axisRow" fieldPosition="0">
        <references count="1">
          <reference field="4294967294" count="2" selected="0">
            <x v="2"/>
            <x v="3"/>
          </reference>
        </references>
      </pivotArea>
    </format>
    <format dxfId="100">
      <pivotArea collapsedLevelsAreSubtotals="1" fieldPosition="0">
        <references count="2">
          <reference field="4294967294" count="2" selected="0">
            <x v="2"/>
            <x v="3"/>
          </reference>
          <reference field="29" count="1">
            <x v="2"/>
          </reference>
        </references>
      </pivotArea>
    </format>
    <format dxfId="99">
      <pivotArea collapsedLevelsAreSubtotals="1" fieldPosition="0">
        <references count="2">
          <reference field="4294967294" count="3" selected="0">
            <x v="1"/>
            <x v="2"/>
            <x v="3"/>
          </reference>
          <reference field="29" count="1">
            <x v="3"/>
          </reference>
        </references>
      </pivotArea>
    </format>
    <format dxfId="98">
      <pivotArea collapsedLevelsAreSubtotals="1" fieldPosition="0">
        <references count="2">
          <reference field="4294967294" count="3" selected="0">
            <x v="1"/>
            <x v="2"/>
            <x v="3"/>
          </reference>
          <reference field="29" count="1">
            <x v="5"/>
          </reference>
        </references>
      </pivotArea>
    </format>
    <format dxfId="97">
      <pivotArea collapsedLevelsAreSubtotals="1" fieldPosition="0">
        <references count="2">
          <reference field="4294967294" count="3" selected="0">
            <x v="1"/>
            <x v="2"/>
            <x v="3"/>
          </reference>
          <reference field="29"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TablaDinámica10"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29:E37" firstHeaderRow="0" firstDataRow="1" firstDataCol="1" rowPageCount="3"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x="6"/>
        <item h="1" x="3"/>
        <item h="1"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axis="axisRow" showAll="0" sortType="ascending" defaultSubtotal="0">
      <items count="15">
        <item x="2"/>
        <item x="4"/>
        <item x="6"/>
        <item x="7"/>
        <item x="3"/>
        <item x="8"/>
        <item x="9"/>
        <item x="10"/>
        <item x="1"/>
        <item x="11"/>
        <item x="12"/>
        <item x="13"/>
        <item x="14"/>
        <item x="0"/>
        <item x="5"/>
      </items>
    </pivotField>
    <pivotField showAll="0" defaultSubtotal="0"/>
    <pivotField showAll="0"/>
    <pivotField showAll="0"/>
    <pivotField axis="axisPage" multipleItemSelectionAllowed="1" showAll="0">
      <items count="10">
        <item h="1" x="1"/>
        <item x="2"/>
        <item h="1" x="4"/>
        <item h="1" x="0"/>
        <item h="1" x="3"/>
        <item h="1" x="5"/>
        <item h="1" x="6"/>
        <item h="1" x="7"/>
        <item h="1" x="8"/>
        <item t="default"/>
      </items>
    </pivotField>
    <pivotField showAll="0"/>
    <pivotField showAll="0"/>
    <pivotField showAll="0" defaultSubtotal="0"/>
    <pivotField dataField="1"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9"/>
  </rowFields>
  <rowItems count="8">
    <i>
      <x/>
    </i>
    <i>
      <x v="7"/>
    </i>
    <i>
      <x v="8"/>
    </i>
    <i>
      <x v="9"/>
    </i>
    <i>
      <x v="10"/>
    </i>
    <i>
      <x v="11"/>
    </i>
    <i>
      <x v="12"/>
    </i>
    <i t="grand">
      <x/>
    </i>
  </rowItems>
  <colFields count="1">
    <field x="-2"/>
  </colFields>
  <colItems count="4">
    <i>
      <x/>
    </i>
    <i i="1">
      <x v="1"/>
    </i>
    <i i="2">
      <x v="2"/>
    </i>
    <i i="3">
      <x v="3"/>
    </i>
  </colItems>
  <pageFields count="3">
    <pageField fld="18" hier="-1"/>
    <pageField fld="25" hier="-1"/>
    <pageField fld="33" hier="-1"/>
  </pageFields>
  <dataFields count="4">
    <dataField name="Cuenta de Ítem" fld="0" subtotal="count" baseField="25" baseItem="0"/>
    <dataField name="Suma de Valor     Presupuestado " fld="9" baseField="25" baseItem="4"/>
    <dataField name="Suma de Valor " fld="37" baseField="26" baseItem="0"/>
    <dataField name="Suma de Valor Ahorro" fld="40" baseField="26" baseItem="0"/>
  </dataFields>
  <formats count="30">
    <format dxfId="159">
      <pivotArea type="all" dataOnly="0" outline="0" fieldPosition="0"/>
    </format>
    <format dxfId="158">
      <pivotArea outline="0" collapsedLevelsAreSubtotals="1" fieldPosition="0"/>
    </format>
    <format dxfId="157">
      <pivotArea dataOnly="0" labelOnly="1" grandRow="1" outline="0" fieldPosition="0"/>
    </format>
    <format dxfId="156">
      <pivotArea dataOnly="0" labelOnly="1" outline="0" fieldPosition="0">
        <references count="1">
          <reference field="4294967294" count="1">
            <x v="0"/>
          </reference>
        </references>
      </pivotArea>
    </format>
    <format dxfId="155">
      <pivotArea dataOnly="0" labelOnly="1" outline="0" fieldPosition="0">
        <references count="1">
          <reference field="4294967294" count="1">
            <x v="0"/>
          </reference>
        </references>
      </pivotArea>
    </format>
    <format dxfId="154">
      <pivotArea dataOnly="0" labelOnly="1" outline="0" fieldPosition="0">
        <references count="1">
          <reference field="4294967294" count="1">
            <x v="0"/>
          </reference>
        </references>
      </pivotArea>
    </format>
    <format dxfId="153">
      <pivotArea outline="0" collapsedLevelsAreSubtotals="1" fieldPosition="0">
        <references count="1">
          <reference field="4294967294" count="1" selected="0">
            <x v="0"/>
          </reference>
        </references>
      </pivotArea>
    </format>
    <format dxfId="152">
      <pivotArea dataOnly="0" labelOnly="1" outline="0" fieldPosition="0">
        <references count="1">
          <reference field="4294967294" count="1">
            <x v="0"/>
          </reference>
        </references>
      </pivotArea>
    </format>
    <format dxfId="151">
      <pivotArea outline="0" collapsedLevelsAreSubtotals="1" fieldPosition="0">
        <references count="1">
          <reference field="4294967294" count="1" selected="0">
            <x v="0"/>
          </reference>
        </references>
      </pivotArea>
    </format>
    <format dxfId="150">
      <pivotArea dataOnly="0" labelOnly="1" outline="0" fieldPosition="0">
        <references count="1">
          <reference field="4294967294" count="1">
            <x v="0"/>
          </reference>
        </references>
      </pivotArea>
    </format>
    <format dxfId="149">
      <pivotArea outline="0" collapsedLevelsAreSubtotals="1" fieldPosition="0">
        <references count="1">
          <reference field="4294967294" count="1" selected="0">
            <x v="0"/>
          </reference>
        </references>
      </pivotArea>
    </format>
    <format dxfId="148">
      <pivotArea dataOnly="0" labelOnly="1" outline="0" fieldPosition="0">
        <references count="1">
          <reference field="4294967294" count="1">
            <x v="0"/>
          </reference>
        </references>
      </pivotArea>
    </format>
    <format dxfId="147">
      <pivotArea type="all" dataOnly="0" outline="0" fieldPosition="0"/>
    </format>
    <format dxfId="146">
      <pivotArea outline="0" collapsedLevelsAreSubtotals="1" fieldPosition="0"/>
    </format>
    <format dxfId="145">
      <pivotArea dataOnly="0" labelOnly="1" grandRow="1" outline="0" fieldPosition="0"/>
    </format>
    <format dxfId="144">
      <pivotArea dataOnly="0" labelOnly="1" outline="0" fieldPosition="0">
        <references count="1">
          <reference field="4294967294" count="1">
            <x v="0"/>
          </reference>
        </references>
      </pivotArea>
    </format>
    <format dxfId="143">
      <pivotArea type="all" dataOnly="0" outline="0" fieldPosition="0"/>
    </format>
    <format dxfId="142">
      <pivotArea outline="0" collapsedLevelsAreSubtotals="1" fieldPosition="0"/>
    </format>
    <format dxfId="141">
      <pivotArea field="29" type="button" dataOnly="0" labelOnly="1" outline="0" axis="axisRow" fieldPosition="0"/>
    </format>
    <format dxfId="140">
      <pivotArea dataOnly="0" labelOnly="1" fieldPosition="0">
        <references count="1">
          <reference field="29" count="2">
            <x v="1"/>
            <x v="2"/>
          </reference>
        </references>
      </pivotArea>
    </format>
    <format dxfId="139">
      <pivotArea dataOnly="0" labelOnly="1" grandRow="1" outline="0" fieldPosition="0"/>
    </format>
    <format dxfId="138">
      <pivotArea dataOnly="0" labelOnly="1" outline="0" fieldPosition="0">
        <references count="1">
          <reference field="4294967294" count="1">
            <x v="0"/>
          </reference>
        </references>
      </pivotArea>
    </format>
    <format dxfId="137">
      <pivotArea collapsedLevelsAreSubtotals="1" fieldPosition="0">
        <references count="2">
          <reference field="4294967294" count="1" selected="0">
            <x v="1"/>
          </reference>
          <reference field="29" count="0"/>
        </references>
      </pivotArea>
    </format>
    <format dxfId="136">
      <pivotArea field="29" grandRow="1" outline="0" collapsedLevelsAreSubtotals="1" axis="axisRow" fieldPosition="0">
        <references count="1">
          <reference field="4294967294" count="1" selected="0">
            <x v="1"/>
          </reference>
        </references>
      </pivotArea>
    </format>
    <format dxfId="135">
      <pivotArea collapsedLevelsAreSubtotals="1" fieldPosition="0">
        <references count="2">
          <reference field="4294967294" count="2" selected="0">
            <x v="2"/>
            <x v="3"/>
          </reference>
          <reference field="29" count="0"/>
        </references>
      </pivotArea>
    </format>
    <format dxfId="134">
      <pivotArea field="29" grandRow="1" outline="0" collapsedLevelsAreSubtotals="1" axis="axisRow" fieldPosition="0">
        <references count="1">
          <reference field="4294967294" count="2" selected="0">
            <x v="2"/>
            <x v="3"/>
          </reference>
        </references>
      </pivotArea>
    </format>
    <format dxfId="133">
      <pivotArea field="29" type="button" dataOnly="0" labelOnly="1" outline="0" axis="axisRow" fieldPosition="0"/>
    </format>
    <format dxfId="132">
      <pivotArea dataOnly="0" labelOnly="1" outline="0" fieldPosition="0">
        <references count="1">
          <reference field="4294967294" count="4">
            <x v="0"/>
            <x v="1"/>
            <x v="2"/>
            <x v="3"/>
          </reference>
        </references>
      </pivotArea>
    </format>
    <format dxfId="131">
      <pivotArea field="29" type="button" dataOnly="0" labelOnly="1" outline="0" axis="axisRow" fieldPosition="0"/>
    </format>
    <format dxfId="130">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5"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5:K61" firstHeaderRow="1" firstDataRow="3" firstDataCol="1" rowPageCount="1" colPageCount="1"/>
  <pivotFields count="52">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3"/>
        <item x="6"/>
        <item x="4"/>
        <item t="default"/>
      </items>
    </pivotField>
    <pivotField showAll="0"/>
    <pivotField showAll="0"/>
    <pivotField showAll="0"/>
    <pivotField showAll="0"/>
    <pivotField showAll="0"/>
    <pivotField showAll="0"/>
    <pivotField axis="axisPage" multipleItemSelectionAllowed="1" showAll="0">
      <items count="5">
        <item x="0"/>
        <item h="1" x="1"/>
        <item h="1" x="2"/>
        <item h="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s>
  <rowFields count="1">
    <field x="4"/>
  </rowFields>
  <rowItems count="14">
    <i>
      <x/>
    </i>
    <i>
      <x v="1"/>
    </i>
    <i>
      <x v="2"/>
    </i>
    <i>
      <x v="3"/>
    </i>
    <i>
      <x v="4"/>
    </i>
    <i>
      <x v="5"/>
    </i>
    <i>
      <x v="6"/>
    </i>
    <i>
      <x v="7"/>
    </i>
    <i>
      <x v="8"/>
    </i>
    <i>
      <x v="9"/>
    </i>
    <i>
      <x v="10"/>
    </i>
    <i>
      <x v="11"/>
    </i>
    <i>
      <x v="12"/>
    </i>
    <i t="grand">
      <x/>
    </i>
  </rowItems>
  <colFields count="2">
    <field x="18"/>
    <field x="-2"/>
  </colFields>
  <colItems count="10">
    <i>
      <x/>
      <x/>
    </i>
    <i r="1" i="1">
      <x v="1"/>
    </i>
    <i>
      <x v="1"/>
      <x/>
    </i>
    <i r="1" i="1">
      <x v="1"/>
    </i>
    <i>
      <x v="2"/>
      <x/>
    </i>
    <i r="1" i="1">
      <x v="1"/>
    </i>
    <i>
      <x v="4"/>
      <x/>
    </i>
    <i r="1" i="1">
      <x v="1"/>
    </i>
    <i t="grand">
      <x/>
    </i>
    <i t="grand" i="1">
      <x/>
    </i>
  </colItems>
  <pageFields count="1">
    <pageField fld="25" hier="-1"/>
  </pageFields>
  <dataFields count="2">
    <dataField name="Cuenta de Ítem" fld="0" subtotal="count" baseField="4" baseItem="0"/>
    <dataField name="Suma de Valor     Presupuestado " fld="9" baseField="4" baseItem="3"/>
  </dataFields>
  <formats count="170">
    <format dxfId="814">
      <pivotArea type="all" dataOnly="0" outline="0" fieldPosition="0"/>
    </format>
    <format dxfId="813">
      <pivotArea outline="0" collapsedLevelsAreSubtotals="1" fieldPosition="0"/>
    </format>
    <format dxfId="812">
      <pivotArea type="origin" dataOnly="0" labelOnly="1" outline="0" fieldPosition="0"/>
    </format>
    <format dxfId="811">
      <pivotArea field="18" type="button" dataOnly="0" labelOnly="1" outline="0" axis="axisCol" fieldPosition="0"/>
    </format>
    <format dxfId="810">
      <pivotArea type="topRight" dataOnly="0" labelOnly="1" outline="0" fieldPosition="0"/>
    </format>
    <format dxfId="809">
      <pivotArea field="4" type="button" dataOnly="0" labelOnly="1" outline="0" axis="axisRow" fieldPosition="0"/>
    </format>
    <format dxfId="808">
      <pivotArea dataOnly="0" labelOnly="1" fieldPosition="0">
        <references count="1">
          <reference field="4" count="0"/>
        </references>
      </pivotArea>
    </format>
    <format dxfId="807">
      <pivotArea dataOnly="0" labelOnly="1" grandRow="1" outline="0" fieldPosition="0"/>
    </format>
    <format dxfId="806">
      <pivotArea dataOnly="0" labelOnly="1" fieldPosition="0">
        <references count="1">
          <reference field="18" count="0"/>
        </references>
      </pivotArea>
    </format>
    <format dxfId="805">
      <pivotArea dataOnly="0" labelOnly="1" grandCol="1" outline="0" fieldPosition="0"/>
    </format>
    <format dxfId="804">
      <pivotArea field="4" type="button" dataOnly="0" labelOnly="1" outline="0" axis="axisRow" fieldPosition="0"/>
    </format>
    <format dxfId="803">
      <pivotArea dataOnly="0" labelOnly="1" fieldPosition="0">
        <references count="1">
          <reference field="18" count="0"/>
        </references>
      </pivotArea>
    </format>
    <format dxfId="802">
      <pivotArea dataOnly="0" labelOnly="1" grandCol="1" outline="0" fieldPosition="0"/>
    </format>
    <format dxfId="801">
      <pivotArea field="4" type="button" dataOnly="0" labelOnly="1" outline="0" axis="axisRow" fieldPosition="0"/>
    </format>
    <format dxfId="800">
      <pivotArea dataOnly="0" labelOnly="1" fieldPosition="0">
        <references count="1">
          <reference field="18" count="0"/>
        </references>
      </pivotArea>
    </format>
    <format dxfId="799">
      <pivotArea dataOnly="0" labelOnly="1" grandCol="1" outline="0" fieldPosition="0"/>
    </format>
    <format dxfId="798">
      <pivotArea type="origin" dataOnly="0" labelOnly="1" outline="0" fieldPosition="0"/>
    </format>
    <format dxfId="797">
      <pivotArea field="18" type="button" dataOnly="0" labelOnly="1" outline="0" axis="axisCol" fieldPosition="0"/>
    </format>
    <format dxfId="796">
      <pivotArea type="topRight" dataOnly="0" labelOnly="1" outline="0" fieldPosition="0"/>
    </format>
    <format dxfId="795">
      <pivotArea outline="0" collapsedLevelsAreSubtotals="1" fieldPosition="0"/>
    </format>
    <format dxfId="794">
      <pivotArea dataOnly="0" labelOnly="1" outline="0" fieldPosition="0">
        <references count="1">
          <reference field="25" count="0"/>
        </references>
      </pivotArea>
    </format>
    <format dxfId="793">
      <pivotArea field="18" type="button" dataOnly="0" labelOnly="1" outline="0" axis="axisCol" fieldPosition="0"/>
    </format>
    <format dxfId="792">
      <pivotArea field="-2" type="button" dataOnly="0" labelOnly="1" outline="0" axis="axisCol" fieldPosition="1"/>
    </format>
    <format dxfId="791">
      <pivotArea type="topRight" dataOnly="0" labelOnly="1" outline="0" fieldPosition="0"/>
    </format>
    <format dxfId="790">
      <pivotArea dataOnly="0" labelOnly="1" fieldPosition="0">
        <references count="1">
          <reference field="18" count="0"/>
        </references>
      </pivotArea>
    </format>
    <format dxfId="789">
      <pivotArea field="18" dataOnly="0" labelOnly="1" grandCol="1" outline="0" axis="axisCol" fieldPosition="0">
        <references count="1">
          <reference field="4294967294" count="1" selected="0">
            <x v="0"/>
          </reference>
        </references>
      </pivotArea>
    </format>
    <format dxfId="788">
      <pivotArea field="18" dataOnly="0" labelOnly="1" grandCol="1" outline="0" axis="axisCol" fieldPosition="0">
        <references count="1">
          <reference field="4294967294" count="1" selected="0">
            <x v="0"/>
          </reference>
        </references>
      </pivotArea>
    </format>
    <format dxfId="787">
      <pivotArea dataOnly="0" labelOnly="1" outline="0" fieldPosition="0">
        <references count="2">
          <reference field="4294967294" count="1">
            <x v="0"/>
          </reference>
          <reference field="18" count="1" selected="0">
            <x v="0"/>
          </reference>
        </references>
      </pivotArea>
    </format>
    <format dxfId="786">
      <pivotArea dataOnly="0" labelOnly="1" outline="0" fieldPosition="0">
        <references count="2">
          <reference field="4294967294" count="1">
            <x v="0"/>
          </reference>
          <reference field="18" count="1" selected="0">
            <x v="1"/>
          </reference>
        </references>
      </pivotArea>
    </format>
    <format dxfId="785">
      <pivotArea field="4" type="button" dataOnly="0" labelOnly="1" outline="0" axis="axisRow" fieldPosition="0"/>
    </format>
    <format dxfId="784">
      <pivotArea field="18" dataOnly="0" labelOnly="1" grandCol="1" outline="0" axis="axisCol" fieldPosition="0">
        <references count="1">
          <reference field="4294967294" count="1" selected="0">
            <x v="0"/>
          </reference>
        </references>
      </pivotArea>
    </format>
    <format dxfId="783">
      <pivotArea field="18" dataOnly="0" labelOnly="1" grandCol="1" outline="0" axis="axisCol" fieldPosition="0">
        <references count="1">
          <reference field="4294967294" count="1" selected="0">
            <x v="0"/>
          </reference>
        </references>
      </pivotArea>
    </format>
    <format dxfId="782">
      <pivotArea dataOnly="0" labelOnly="1" outline="0" fieldPosition="0">
        <references count="2">
          <reference field="4294967294" count="1">
            <x v="0"/>
          </reference>
          <reference field="18" count="1" selected="0">
            <x v="0"/>
          </reference>
        </references>
      </pivotArea>
    </format>
    <format dxfId="781">
      <pivotArea dataOnly="0" labelOnly="1" outline="0" fieldPosition="0">
        <references count="2">
          <reference field="4294967294" count="1">
            <x v="0"/>
          </reference>
          <reference field="18" count="1" selected="0">
            <x v="1"/>
          </reference>
        </references>
      </pivotArea>
    </format>
    <format dxfId="780">
      <pivotArea field="4" type="button" dataOnly="0" labelOnly="1" outline="0" axis="axisRow" fieldPosition="0"/>
    </format>
    <format dxfId="779">
      <pivotArea field="18" dataOnly="0" labelOnly="1" grandCol="1" outline="0" axis="axisCol" fieldPosition="0">
        <references count="1">
          <reference field="4294967294" count="1" selected="0">
            <x v="0"/>
          </reference>
        </references>
      </pivotArea>
    </format>
    <format dxfId="778">
      <pivotArea field="18" dataOnly="0" labelOnly="1" grandCol="1" outline="0" axis="axisCol" fieldPosition="0">
        <references count="1">
          <reference field="4294967294" count="1" selected="0">
            <x v="0"/>
          </reference>
        </references>
      </pivotArea>
    </format>
    <format dxfId="777">
      <pivotArea dataOnly="0" labelOnly="1" outline="0" fieldPosition="0">
        <references count="2">
          <reference field="4294967294" count="1">
            <x v="0"/>
          </reference>
          <reference field="18" count="1" selected="0">
            <x v="0"/>
          </reference>
        </references>
      </pivotArea>
    </format>
    <format dxfId="776">
      <pivotArea dataOnly="0" labelOnly="1" outline="0" fieldPosition="0">
        <references count="2">
          <reference field="4294967294" count="1">
            <x v="0"/>
          </reference>
          <reference field="18" count="1" selected="0">
            <x v="1"/>
          </reference>
        </references>
      </pivotArea>
    </format>
    <format dxfId="775">
      <pivotArea field="4" type="button" dataOnly="0" labelOnly="1" outline="0" axis="axisRow" fieldPosition="0"/>
    </format>
    <format dxfId="774">
      <pivotArea field="18" dataOnly="0" labelOnly="1" grandCol="1" outline="0" axis="axisCol" fieldPosition="0">
        <references count="1">
          <reference field="4294967294" count="1" selected="0">
            <x v="0"/>
          </reference>
        </references>
      </pivotArea>
    </format>
    <format dxfId="773">
      <pivotArea field="18" dataOnly="0" labelOnly="1" grandCol="1" outline="0" axis="axisCol" fieldPosition="0">
        <references count="1">
          <reference field="4294967294" count="1" selected="0">
            <x v="0"/>
          </reference>
        </references>
      </pivotArea>
    </format>
    <format dxfId="772">
      <pivotArea dataOnly="0" labelOnly="1" outline="0" fieldPosition="0">
        <references count="2">
          <reference field="4294967294" count="1">
            <x v="0"/>
          </reference>
          <reference field="18" count="1" selected="0">
            <x v="0"/>
          </reference>
        </references>
      </pivotArea>
    </format>
    <format dxfId="771">
      <pivotArea dataOnly="0" labelOnly="1" outline="0" fieldPosition="0">
        <references count="2">
          <reference field="4294967294" count="1">
            <x v="0"/>
          </reference>
          <reference field="18" count="1" selected="0">
            <x v="1"/>
          </reference>
        </references>
      </pivotArea>
    </format>
    <format dxfId="770">
      <pivotArea field="4" type="button" dataOnly="0" labelOnly="1" outline="0" axis="axisRow" fieldPosition="0"/>
    </format>
    <format dxfId="769">
      <pivotArea field="18" dataOnly="0" labelOnly="1" grandCol="1" outline="0" axis="axisCol" fieldPosition="0">
        <references count="1">
          <reference field="4294967294" count="1" selected="0">
            <x v="0"/>
          </reference>
        </references>
      </pivotArea>
    </format>
    <format dxfId="768">
      <pivotArea field="18" dataOnly="0" labelOnly="1" grandCol="1" outline="0" axis="axisCol" fieldPosition="0">
        <references count="1">
          <reference field="4294967294" count="1" selected="0">
            <x v="0"/>
          </reference>
        </references>
      </pivotArea>
    </format>
    <format dxfId="767">
      <pivotArea dataOnly="0" labelOnly="1" outline="0" fieldPosition="0">
        <references count="2">
          <reference field="4294967294" count="1">
            <x v="0"/>
          </reference>
          <reference field="18" count="1" selected="0">
            <x v="0"/>
          </reference>
        </references>
      </pivotArea>
    </format>
    <format dxfId="766">
      <pivotArea dataOnly="0" labelOnly="1" outline="0" fieldPosition="0">
        <references count="2">
          <reference field="4294967294" count="1">
            <x v="0"/>
          </reference>
          <reference field="18" count="1" selected="0">
            <x v="1"/>
          </reference>
        </references>
      </pivotArea>
    </format>
    <format dxfId="765">
      <pivotArea type="all" dataOnly="0" outline="0" fieldPosition="0"/>
    </format>
    <format dxfId="764">
      <pivotArea outline="0" collapsedLevelsAreSubtotals="1" fieldPosition="0"/>
    </format>
    <format dxfId="763">
      <pivotArea type="origin" dataOnly="0" labelOnly="1" outline="0" fieldPosition="0"/>
    </format>
    <format dxfId="762">
      <pivotArea field="18" type="button" dataOnly="0" labelOnly="1" outline="0" axis="axisCol" fieldPosition="0"/>
    </format>
    <format dxfId="761">
      <pivotArea field="-2" type="button" dataOnly="0" labelOnly="1" outline="0" axis="axisCol" fieldPosition="1"/>
    </format>
    <format dxfId="760">
      <pivotArea type="topRight" dataOnly="0" labelOnly="1" outline="0" fieldPosition="0"/>
    </format>
    <format dxfId="759">
      <pivotArea field="4" type="button" dataOnly="0" labelOnly="1" outline="0" axis="axisRow" fieldPosition="0"/>
    </format>
    <format dxfId="758">
      <pivotArea dataOnly="0" labelOnly="1" fieldPosition="0">
        <references count="1">
          <reference field="4" count="0"/>
        </references>
      </pivotArea>
    </format>
    <format dxfId="757">
      <pivotArea dataOnly="0" labelOnly="1" grandRow="1" outline="0" fieldPosition="0"/>
    </format>
    <format dxfId="756">
      <pivotArea dataOnly="0" labelOnly="1" fieldPosition="0">
        <references count="1">
          <reference field="18" count="0"/>
        </references>
      </pivotArea>
    </format>
    <format dxfId="755">
      <pivotArea field="18" dataOnly="0" labelOnly="1" grandCol="1" outline="0" axis="axisCol" fieldPosition="0">
        <references count="1">
          <reference field="4294967294" count="1" selected="0">
            <x v="0"/>
          </reference>
        </references>
      </pivotArea>
    </format>
    <format dxfId="754">
      <pivotArea field="18" dataOnly="0" labelOnly="1" grandCol="1" outline="0" axis="axisCol" fieldPosition="0">
        <references count="1">
          <reference field="4294967294" count="1" selected="0">
            <x v="0"/>
          </reference>
        </references>
      </pivotArea>
    </format>
    <format dxfId="753">
      <pivotArea dataOnly="0" labelOnly="1" outline="0" fieldPosition="0">
        <references count="2">
          <reference field="4294967294" count="1">
            <x v="0"/>
          </reference>
          <reference field="18" count="1" selected="0">
            <x v="0"/>
          </reference>
        </references>
      </pivotArea>
    </format>
    <format dxfId="752">
      <pivotArea dataOnly="0" labelOnly="1" outline="0" fieldPosition="0">
        <references count="2">
          <reference field="4294967294" count="1">
            <x v="0"/>
          </reference>
          <reference field="18" count="1" selected="0">
            <x v="1"/>
          </reference>
        </references>
      </pivotArea>
    </format>
    <format dxfId="751">
      <pivotArea type="all" dataOnly="0" outline="0" fieldPosition="0"/>
    </format>
    <format dxfId="750">
      <pivotArea outline="0" collapsedLevelsAreSubtotals="1" fieldPosition="0"/>
    </format>
    <format dxfId="749">
      <pivotArea type="origin" dataOnly="0" labelOnly="1" outline="0" fieldPosition="0"/>
    </format>
    <format dxfId="748">
      <pivotArea field="18" type="button" dataOnly="0" labelOnly="1" outline="0" axis="axisCol" fieldPosition="0"/>
    </format>
    <format dxfId="747">
      <pivotArea field="-2" type="button" dataOnly="0" labelOnly="1" outline="0" axis="axisCol" fieldPosition="1"/>
    </format>
    <format dxfId="746">
      <pivotArea type="topRight" dataOnly="0" labelOnly="1" outline="0" fieldPosition="0"/>
    </format>
    <format dxfId="745">
      <pivotArea field="4" type="button" dataOnly="0" labelOnly="1" outline="0" axis="axisRow" fieldPosition="0"/>
    </format>
    <format dxfId="744">
      <pivotArea dataOnly="0" labelOnly="1" grandRow="1" outline="0" fieldPosition="0"/>
    </format>
    <format dxfId="743">
      <pivotArea dataOnly="0" labelOnly="1" fieldPosition="0">
        <references count="1">
          <reference field="18" count="1">
            <x v="1"/>
          </reference>
        </references>
      </pivotArea>
    </format>
    <format dxfId="742">
      <pivotArea field="18" dataOnly="0" labelOnly="1" grandCol="1" outline="0" axis="axisCol" fieldPosition="0">
        <references count="1">
          <reference field="4294967294" count="1" selected="0">
            <x v="0"/>
          </reference>
        </references>
      </pivotArea>
    </format>
    <format dxfId="741">
      <pivotArea field="18" dataOnly="0" labelOnly="1" grandCol="1" outline="0" axis="axisCol" fieldPosition="0">
        <references count="1">
          <reference field="4294967294" count="1" selected="0">
            <x v="0"/>
          </reference>
        </references>
      </pivotArea>
    </format>
    <format dxfId="740">
      <pivotArea dataOnly="0" labelOnly="1" outline="0" fieldPosition="0">
        <references count="2">
          <reference field="4294967294" count="1">
            <x v="0"/>
          </reference>
          <reference field="18" count="1" selected="0">
            <x v="1"/>
          </reference>
        </references>
      </pivotArea>
    </format>
    <format dxfId="739">
      <pivotArea field="4" type="button" dataOnly="0" labelOnly="1" outline="0" axis="axisRow" fieldPosition="0"/>
    </format>
    <format dxfId="738">
      <pivotArea field="18" dataOnly="0" labelOnly="1" grandCol="1" outline="0" axis="axisCol" fieldPosition="0">
        <references count="1">
          <reference field="4294967294" count="1" selected="0">
            <x v="0"/>
          </reference>
        </references>
      </pivotArea>
    </format>
    <format dxfId="737">
      <pivotArea field="18" dataOnly="0" labelOnly="1" grandCol="1" outline="0" axis="axisCol" fieldPosition="0">
        <references count="1">
          <reference field="4294967294" count="1" selected="0">
            <x v="1"/>
          </reference>
        </references>
      </pivotArea>
    </format>
    <format dxfId="736">
      <pivotArea field="18" dataOnly="0" labelOnly="1" grandCol="1" outline="0" axis="axisCol" fieldPosition="0">
        <references count="1">
          <reference field="4294967294" count="1" selected="0">
            <x v="0"/>
          </reference>
        </references>
      </pivotArea>
    </format>
    <format dxfId="735">
      <pivotArea field="18" dataOnly="0" labelOnly="1" grandCol="1" outline="0" axis="axisCol" fieldPosition="0">
        <references count="1">
          <reference field="4294967294" count="1" selected="0">
            <x v="1"/>
          </reference>
        </references>
      </pivotArea>
    </format>
    <format dxfId="734">
      <pivotArea field="4" type="button" dataOnly="0" labelOnly="1" outline="0" axis="axisRow" fieldPosition="0"/>
    </format>
    <format dxfId="733">
      <pivotArea field="18" dataOnly="0" labelOnly="1" grandCol="1" outline="0" axis="axisCol" fieldPosition="0">
        <references count="1">
          <reference field="4294967294" count="1" selected="0">
            <x v="0"/>
          </reference>
        </references>
      </pivotArea>
    </format>
    <format dxfId="732">
      <pivotArea field="18" dataOnly="0" labelOnly="1" grandCol="1" outline="0" axis="axisCol" fieldPosition="0">
        <references count="1">
          <reference field="4294967294" count="1" selected="0">
            <x v="1"/>
          </reference>
        </references>
      </pivotArea>
    </format>
    <format dxfId="731">
      <pivotArea field="18" dataOnly="0" labelOnly="1" grandCol="1" outline="0" axis="axisCol" fieldPosition="0">
        <references count="1">
          <reference field="4294967294" count="1" selected="0">
            <x v="0"/>
          </reference>
        </references>
      </pivotArea>
    </format>
    <format dxfId="730">
      <pivotArea field="18" dataOnly="0" labelOnly="1" grandCol="1" outline="0" axis="axisCol" fieldPosition="0">
        <references count="1">
          <reference field="4294967294" count="1" selected="0">
            <x v="1"/>
          </reference>
        </references>
      </pivotArea>
    </format>
    <format dxfId="729">
      <pivotArea field="4" type="button" dataOnly="0" labelOnly="1" outline="0" axis="axisRow" fieldPosition="0"/>
    </format>
    <format dxfId="728">
      <pivotArea field="18" dataOnly="0" labelOnly="1" grandCol="1" outline="0" axis="axisCol" fieldPosition="0">
        <references count="1">
          <reference field="4294967294" count="1" selected="0">
            <x v="0"/>
          </reference>
        </references>
      </pivotArea>
    </format>
    <format dxfId="727">
      <pivotArea field="18" dataOnly="0" labelOnly="1" grandCol="1" outline="0" axis="axisCol" fieldPosition="0">
        <references count="1">
          <reference field="4294967294" count="1" selected="0">
            <x v="1"/>
          </reference>
        </references>
      </pivotArea>
    </format>
    <format dxfId="726">
      <pivotArea field="18" dataOnly="0" labelOnly="1" grandCol="1" outline="0" axis="axisCol" fieldPosition="0">
        <references count="1">
          <reference field="4294967294" count="1" selected="0">
            <x v="0"/>
          </reference>
        </references>
      </pivotArea>
    </format>
    <format dxfId="725">
      <pivotArea field="18" dataOnly="0" labelOnly="1" grandCol="1" outline="0" axis="axisCol" fieldPosition="0">
        <references count="1">
          <reference field="4294967294" count="1" selected="0">
            <x v="1"/>
          </reference>
        </references>
      </pivotArea>
    </format>
    <format dxfId="724">
      <pivotArea field="4" type="button" dataOnly="0" labelOnly="1" outline="0" axis="axisRow" fieldPosition="0"/>
    </format>
    <format dxfId="723">
      <pivotArea field="18" dataOnly="0" labelOnly="1" grandCol="1" outline="0" axis="axisCol" fieldPosition="0">
        <references count="1">
          <reference field="4294967294" count="1" selected="0">
            <x v="0"/>
          </reference>
        </references>
      </pivotArea>
    </format>
    <format dxfId="722">
      <pivotArea field="18" dataOnly="0" labelOnly="1" grandCol="1" outline="0" axis="axisCol" fieldPosition="0">
        <references count="1">
          <reference field="4294967294" count="1" selected="0">
            <x v="1"/>
          </reference>
        </references>
      </pivotArea>
    </format>
    <format dxfId="721">
      <pivotArea field="18" dataOnly="0" labelOnly="1" grandCol="1" outline="0" axis="axisCol" fieldPosition="0">
        <references count="1">
          <reference field="4294967294" count="1" selected="0">
            <x v="0"/>
          </reference>
        </references>
      </pivotArea>
    </format>
    <format dxfId="720">
      <pivotArea field="18" dataOnly="0" labelOnly="1" grandCol="1" outline="0" axis="axisCol" fieldPosition="0">
        <references count="1">
          <reference field="4294967294" count="1" selected="0">
            <x v="1"/>
          </reference>
        </references>
      </pivotArea>
    </format>
    <format dxfId="719">
      <pivotArea type="all" dataOnly="0" outline="0" fieldPosition="0"/>
    </format>
    <format dxfId="718">
      <pivotArea outline="0" collapsedLevelsAreSubtotals="1" fieldPosition="0"/>
    </format>
    <format dxfId="717">
      <pivotArea type="origin" dataOnly="0" labelOnly="1" outline="0" fieldPosition="0"/>
    </format>
    <format dxfId="716">
      <pivotArea field="18" type="button" dataOnly="0" labelOnly="1" outline="0" axis="axisCol" fieldPosition="0"/>
    </format>
    <format dxfId="715">
      <pivotArea field="-2" type="button" dataOnly="0" labelOnly="1" outline="0" axis="axisCol" fieldPosition="1"/>
    </format>
    <format dxfId="714">
      <pivotArea type="topRight" dataOnly="0" labelOnly="1" outline="0" fieldPosition="0"/>
    </format>
    <format dxfId="713">
      <pivotArea field="4" type="button" dataOnly="0" labelOnly="1" outline="0" axis="axisRow" fieldPosition="0"/>
    </format>
    <format dxfId="712">
      <pivotArea dataOnly="0" labelOnly="1" fieldPosition="0">
        <references count="1">
          <reference field="4" count="0"/>
        </references>
      </pivotArea>
    </format>
    <format dxfId="711">
      <pivotArea dataOnly="0" labelOnly="1" grandRow="1" outline="0" fieldPosition="0"/>
    </format>
    <format dxfId="710">
      <pivotArea dataOnly="0" labelOnly="1" fieldPosition="0">
        <references count="1">
          <reference field="18" count="0"/>
        </references>
      </pivotArea>
    </format>
    <format dxfId="709">
      <pivotArea field="18" dataOnly="0" labelOnly="1" grandCol="1" outline="0" axis="axisCol" fieldPosition="0">
        <references count="1">
          <reference field="4294967294" count="1" selected="0">
            <x v="0"/>
          </reference>
        </references>
      </pivotArea>
    </format>
    <format dxfId="708">
      <pivotArea field="18" dataOnly="0" labelOnly="1" grandCol="1" outline="0" axis="axisCol" fieldPosition="0">
        <references count="1">
          <reference field="4294967294" count="1" selected="0">
            <x v="1"/>
          </reference>
        </references>
      </pivotArea>
    </format>
    <format dxfId="707">
      <pivotArea field="18" dataOnly="0" labelOnly="1" grandCol="1" outline="0" axis="axisCol" fieldPosition="0">
        <references count="1">
          <reference field="4294967294" count="1" selected="0">
            <x v="0"/>
          </reference>
        </references>
      </pivotArea>
    </format>
    <format dxfId="706">
      <pivotArea field="18" dataOnly="0" labelOnly="1" grandCol="1" outline="0" axis="axisCol" fieldPosition="0">
        <references count="1">
          <reference field="4294967294" count="1" selected="0">
            <x v="1"/>
          </reference>
        </references>
      </pivotArea>
    </format>
    <format dxfId="705">
      <pivotArea dataOnly="0" labelOnly="1" outline="0" fieldPosition="0">
        <references count="2">
          <reference field="4294967294" count="2">
            <x v="0"/>
            <x v="1"/>
          </reference>
          <reference field="18" count="0" selected="0"/>
        </references>
      </pivotArea>
    </format>
    <format dxfId="704">
      <pivotArea type="all" dataOnly="0" outline="0" fieldPosition="0"/>
    </format>
    <format dxfId="703">
      <pivotArea outline="0" collapsedLevelsAreSubtotals="1" fieldPosition="0"/>
    </format>
    <format dxfId="702">
      <pivotArea type="origin" dataOnly="0" labelOnly="1" outline="0" fieldPosition="0"/>
    </format>
    <format dxfId="701">
      <pivotArea field="18" type="button" dataOnly="0" labelOnly="1" outline="0" axis="axisCol" fieldPosition="0"/>
    </format>
    <format dxfId="700">
      <pivotArea field="-2" type="button" dataOnly="0" labelOnly="1" outline="0" axis="axisCol" fieldPosition="1"/>
    </format>
    <format dxfId="699">
      <pivotArea type="topRight" dataOnly="0" labelOnly="1" outline="0" fieldPosition="0"/>
    </format>
    <format dxfId="698">
      <pivotArea field="4" type="button" dataOnly="0" labelOnly="1" outline="0" axis="axisRow" fieldPosition="0"/>
    </format>
    <format dxfId="697">
      <pivotArea dataOnly="0" labelOnly="1" fieldPosition="0">
        <references count="1">
          <reference field="4" count="0"/>
        </references>
      </pivotArea>
    </format>
    <format dxfId="696">
      <pivotArea dataOnly="0" labelOnly="1" grandRow="1" outline="0" fieldPosition="0"/>
    </format>
    <format dxfId="695">
      <pivotArea dataOnly="0" labelOnly="1" fieldPosition="0">
        <references count="1">
          <reference field="18" count="0"/>
        </references>
      </pivotArea>
    </format>
    <format dxfId="694">
      <pivotArea field="18" dataOnly="0" labelOnly="1" grandCol="1" outline="0" axis="axisCol" fieldPosition="0">
        <references count="1">
          <reference field="4294967294" count="1" selected="0">
            <x v="0"/>
          </reference>
        </references>
      </pivotArea>
    </format>
    <format dxfId="693">
      <pivotArea field="18" dataOnly="0" labelOnly="1" grandCol="1" outline="0" axis="axisCol" fieldPosition="0">
        <references count="1">
          <reference field="4294967294" count="1" selected="0">
            <x v="1"/>
          </reference>
        </references>
      </pivotArea>
    </format>
    <format dxfId="692">
      <pivotArea field="18" dataOnly="0" labelOnly="1" grandCol="1" outline="0" axis="axisCol" fieldPosition="0">
        <references count="1">
          <reference field="4294967294" count="1" selected="0">
            <x v="0"/>
          </reference>
        </references>
      </pivotArea>
    </format>
    <format dxfId="691">
      <pivotArea field="18" dataOnly="0" labelOnly="1" grandCol="1" outline="0" axis="axisCol" fieldPosition="0">
        <references count="1">
          <reference field="4294967294" count="1" selected="0">
            <x v="1"/>
          </reference>
        </references>
      </pivotArea>
    </format>
    <format dxfId="690">
      <pivotArea dataOnly="0" labelOnly="1" outline="0" fieldPosition="0">
        <references count="2">
          <reference field="4294967294" count="2">
            <x v="0"/>
            <x v="1"/>
          </reference>
          <reference field="18" count="0" selected="0"/>
        </references>
      </pivotArea>
    </format>
    <format dxfId="689">
      <pivotArea type="all" dataOnly="0" outline="0" fieldPosition="0"/>
    </format>
    <format dxfId="688">
      <pivotArea outline="0" collapsedLevelsAreSubtotals="1" fieldPosition="0"/>
    </format>
    <format dxfId="687">
      <pivotArea type="origin" dataOnly="0" labelOnly="1" outline="0" fieldPosition="0"/>
    </format>
    <format dxfId="686">
      <pivotArea field="18" type="button" dataOnly="0" labelOnly="1" outline="0" axis="axisCol" fieldPosition="0"/>
    </format>
    <format dxfId="685">
      <pivotArea field="-2" type="button" dataOnly="0" labelOnly="1" outline="0" axis="axisCol" fieldPosition="1"/>
    </format>
    <format dxfId="684">
      <pivotArea type="topRight" dataOnly="0" labelOnly="1" outline="0" fieldPosition="0"/>
    </format>
    <format dxfId="683">
      <pivotArea field="4" type="button" dataOnly="0" labelOnly="1" outline="0" axis="axisRow" fieldPosition="0"/>
    </format>
    <format dxfId="682">
      <pivotArea dataOnly="0" labelOnly="1" fieldPosition="0">
        <references count="1">
          <reference field="4" count="0"/>
        </references>
      </pivotArea>
    </format>
    <format dxfId="681">
      <pivotArea dataOnly="0" labelOnly="1" grandRow="1" outline="0" fieldPosition="0"/>
    </format>
    <format dxfId="680">
      <pivotArea dataOnly="0" labelOnly="1" fieldPosition="0">
        <references count="1">
          <reference field="18" count="0"/>
        </references>
      </pivotArea>
    </format>
    <format dxfId="679">
      <pivotArea field="18" dataOnly="0" labelOnly="1" grandCol="1" outline="0" axis="axisCol" fieldPosition="0">
        <references count="1">
          <reference field="4294967294" count="1" selected="0">
            <x v="0"/>
          </reference>
        </references>
      </pivotArea>
    </format>
    <format dxfId="678">
      <pivotArea field="18" dataOnly="0" labelOnly="1" grandCol="1" outline="0" axis="axisCol" fieldPosition="0">
        <references count="1">
          <reference field="4294967294" count="1" selected="0">
            <x v="1"/>
          </reference>
        </references>
      </pivotArea>
    </format>
    <format dxfId="677">
      <pivotArea field="18" dataOnly="0" labelOnly="1" grandCol="1" outline="0" axis="axisCol" fieldPosition="0">
        <references count="1">
          <reference field="4294967294" count="1" selected="0">
            <x v="0"/>
          </reference>
        </references>
      </pivotArea>
    </format>
    <format dxfId="676">
      <pivotArea field="18" dataOnly="0" labelOnly="1" grandCol="1" outline="0" axis="axisCol" fieldPosition="0">
        <references count="1">
          <reference field="4294967294" count="1" selected="0">
            <x v="1"/>
          </reference>
        </references>
      </pivotArea>
    </format>
    <format dxfId="675">
      <pivotArea dataOnly="0" labelOnly="1" outline="0" fieldPosition="0">
        <references count="2">
          <reference field="4294967294" count="2">
            <x v="0"/>
            <x v="1"/>
          </reference>
          <reference field="18" count="0" selected="0"/>
        </references>
      </pivotArea>
    </format>
    <format dxfId="674">
      <pivotArea type="all" dataOnly="0" outline="0" fieldPosition="0"/>
    </format>
    <format dxfId="673">
      <pivotArea outline="0" collapsedLevelsAreSubtotals="1" fieldPosition="0"/>
    </format>
    <format dxfId="672">
      <pivotArea type="origin" dataOnly="0" labelOnly="1" outline="0" fieldPosition="0"/>
    </format>
    <format dxfId="671">
      <pivotArea field="18" type="button" dataOnly="0" labelOnly="1" outline="0" axis="axisCol" fieldPosition="0"/>
    </format>
    <format dxfId="670">
      <pivotArea field="-2" type="button" dataOnly="0" labelOnly="1" outline="0" axis="axisCol" fieldPosition="1"/>
    </format>
    <format dxfId="669">
      <pivotArea type="topRight" dataOnly="0" labelOnly="1" outline="0" fieldPosition="0"/>
    </format>
    <format dxfId="668">
      <pivotArea field="4" type="button" dataOnly="0" labelOnly="1" outline="0" axis="axisRow" fieldPosition="0"/>
    </format>
    <format dxfId="667">
      <pivotArea dataOnly="0" labelOnly="1" fieldPosition="0">
        <references count="1">
          <reference field="4" count="1">
            <x v="0"/>
          </reference>
        </references>
      </pivotArea>
    </format>
    <format dxfId="666">
      <pivotArea dataOnly="0" labelOnly="1" grandRow="1" outline="0" fieldPosition="0"/>
    </format>
    <format dxfId="665">
      <pivotArea dataOnly="0" labelOnly="1" fieldPosition="0">
        <references count="1">
          <reference field="18" count="1">
            <x v="1"/>
          </reference>
        </references>
      </pivotArea>
    </format>
    <format dxfId="664">
      <pivotArea field="18" dataOnly="0" labelOnly="1" grandCol="1" outline="0" axis="axisCol" fieldPosition="0">
        <references count="1">
          <reference field="4294967294" count="1" selected="0">
            <x v="0"/>
          </reference>
        </references>
      </pivotArea>
    </format>
    <format dxfId="663">
      <pivotArea field="18" dataOnly="0" labelOnly="1" grandCol="1" outline="0" axis="axisCol" fieldPosition="0">
        <references count="1">
          <reference field="4294967294" count="1" selected="0">
            <x v="1"/>
          </reference>
        </references>
      </pivotArea>
    </format>
    <format dxfId="662">
      <pivotArea field="18" dataOnly="0" labelOnly="1" grandCol="1" outline="0" axis="axisCol" fieldPosition="0">
        <references count="1">
          <reference field="4294967294" count="1" selected="0">
            <x v="0"/>
          </reference>
        </references>
      </pivotArea>
    </format>
    <format dxfId="661">
      <pivotArea field="18" dataOnly="0" labelOnly="1" grandCol="1" outline="0" axis="axisCol" fieldPosition="0">
        <references count="1">
          <reference field="4294967294" count="1" selected="0">
            <x v="1"/>
          </reference>
        </references>
      </pivotArea>
    </format>
    <format dxfId="660">
      <pivotArea dataOnly="0" labelOnly="1" outline="0" fieldPosition="0">
        <references count="2">
          <reference field="4294967294" count="2">
            <x v="0"/>
            <x v="1"/>
          </reference>
          <reference field="18" count="1" selected="0">
            <x v="1"/>
          </reference>
        </references>
      </pivotArea>
    </format>
    <format dxfId="659">
      <pivotArea type="all" dataOnly="0" outline="0" fieldPosition="0"/>
    </format>
    <format dxfId="658">
      <pivotArea outline="0" collapsedLevelsAreSubtotals="1" fieldPosition="0"/>
    </format>
    <format dxfId="657">
      <pivotArea type="origin" dataOnly="0" labelOnly="1" outline="0" fieldPosition="0"/>
    </format>
    <format dxfId="656">
      <pivotArea field="18" type="button" dataOnly="0" labelOnly="1" outline="0" axis="axisCol" fieldPosition="0"/>
    </format>
    <format dxfId="655">
      <pivotArea field="-2" type="button" dataOnly="0" labelOnly="1" outline="0" axis="axisCol" fieldPosition="1"/>
    </format>
    <format dxfId="654">
      <pivotArea type="topRight" dataOnly="0" labelOnly="1" outline="0" fieldPosition="0"/>
    </format>
    <format dxfId="653">
      <pivotArea field="4" type="button" dataOnly="0" labelOnly="1" outline="0" axis="axisRow" fieldPosition="0"/>
    </format>
    <format dxfId="652">
      <pivotArea dataOnly="0" labelOnly="1" fieldPosition="0">
        <references count="1">
          <reference field="4" count="1">
            <x v="0"/>
          </reference>
        </references>
      </pivotArea>
    </format>
    <format dxfId="651">
      <pivotArea dataOnly="0" labelOnly="1" grandRow="1" outline="0" fieldPosition="0"/>
    </format>
    <format dxfId="650">
      <pivotArea dataOnly="0" labelOnly="1" fieldPosition="0">
        <references count="1">
          <reference field="18" count="1">
            <x v="1"/>
          </reference>
        </references>
      </pivotArea>
    </format>
    <format dxfId="649">
      <pivotArea field="18" dataOnly="0" labelOnly="1" grandCol="1" outline="0" axis="axisCol" fieldPosition="0">
        <references count="1">
          <reference field="4294967294" count="1" selected="0">
            <x v="0"/>
          </reference>
        </references>
      </pivotArea>
    </format>
    <format dxfId="648">
      <pivotArea field="18" dataOnly="0" labelOnly="1" grandCol="1" outline="0" axis="axisCol" fieldPosition="0">
        <references count="1">
          <reference field="4294967294" count="1" selected="0">
            <x v="1"/>
          </reference>
        </references>
      </pivotArea>
    </format>
    <format dxfId="647">
      <pivotArea field="18" dataOnly="0" labelOnly="1" grandCol="1" outline="0" axis="axisCol" fieldPosition="0">
        <references count="1">
          <reference field="4294967294" count="1" selected="0">
            <x v="0"/>
          </reference>
        </references>
      </pivotArea>
    </format>
    <format dxfId="646">
      <pivotArea field="18" dataOnly="0" labelOnly="1" grandCol="1" outline="0" axis="axisCol" fieldPosition="0">
        <references count="1">
          <reference field="4294967294" count="1" selected="0">
            <x v="1"/>
          </reference>
        </references>
      </pivotArea>
    </format>
    <format dxfId="645">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2"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Q20" firstHeaderRow="1" firstDataRow="3" firstDataCol="1" rowPageCount="1" colPageCount="1"/>
  <pivotFields count="53">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x="0"/>
        <item x="1"/>
        <item x="2"/>
        <item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defaultSubtotal="0"/>
    <pivotField numFmtId="1" showAll="0" defaultSubtotal="0"/>
  </pivotFields>
  <rowFields count="1">
    <field x="4"/>
  </rowFields>
  <rowItems count="14">
    <i>
      <x/>
    </i>
    <i>
      <x v="1"/>
    </i>
    <i>
      <x v="2"/>
    </i>
    <i>
      <x v="3"/>
    </i>
    <i>
      <x v="4"/>
    </i>
    <i>
      <x v="5"/>
    </i>
    <i>
      <x v="6"/>
    </i>
    <i>
      <x v="7"/>
    </i>
    <i>
      <x v="8"/>
    </i>
    <i>
      <x v="9"/>
    </i>
    <i>
      <x v="10"/>
    </i>
    <i>
      <x v="11"/>
    </i>
    <i>
      <x v="12"/>
    </i>
    <i t="grand">
      <x/>
    </i>
  </rowItems>
  <colFields count="2">
    <field x="18"/>
    <field x="-2"/>
  </colFields>
  <colItems count="16">
    <i>
      <x/>
      <x/>
    </i>
    <i r="1" i="1">
      <x v="1"/>
    </i>
    <i>
      <x v="1"/>
      <x/>
    </i>
    <i r="1" i="1">
      <x v="1"/>
    </i>
    <i>
      <x v="2"/>
      <x/>
    </i>
    <i r="1" i="1">
      <x v="1"/>
    </i>
    <i>
      <x v="3"/>
      <x/>
    </i>
    <i r="1" i="1">
      <x v="1"/>
    </i>
    <i>
      <x v="4"/>
      <x/>
    </i>
    <i r="1" i="1">
      <x v="1"/>
    </i>
    <i>
      <x v="5"/>
      <x/>
    </i>
    <i r="1" i="1">
      <x v="1"/>
    </i>
    <i>
      <x v="6"/>
      <x/>
    </i>
    <i r="1" i="1">
      <x v="1"/>
    </i>
    <i t="grand">
      <x/>
    </i>
    <i t="grand" i="1">
      <x/>
    </i>
  </colItems>
  <pageFields count="1">
    <pageField fld="25" hier="-1"/>
  </pageFields>
  <dataFields count="2">
    <dataField name="Cuenta de Ítem" fld="0" subtotal="count" baseField="4" baseItem="5"/>
    <dataField name="Suma de Valor     Presupuestado " fld="9" baseField="4" baseItem="5"/>
  </dataFields>
  <formats count="286">
    <format dxfId="1100">
      <pivotArea type="all" dataOnly="0" outline="0" fieldPosition="0"/>
    </format>
    <format dxfId="1099">
      <pivotArea outline="0" collapsedLevelsAreSubtotals="1" fieldPosition="0"/>
    </format>
    <format dxfId="1098">
      <pivotArea type="origin" dataOnly="0" labelOnly="1" outline="0" fieldPosition="0"/>
    </format>
    <format dxfId="1097">
      <pivotArea field="18" type="button" dataOnly="0" labelOnly="1" outline="0" axis="axisCol" fieldPosition="0"/>
    </format>
    <format dxfId="1096">
      <pivotArea type="topRight" dataOnly="0" labelOnly="1" outline="0" fieldPosition="0"/>
    </format>
    <format dxfId="1095">
      <pivotArea field="4" type="button" dataOnly="0" labelOnly="1" outline="0" axis="axisRow" fieldPosition="0"/>
    </format>
    <format dxfId="1094">
      <pivotArea dataOnly="0" labelOnly="1" grandRow="1" outline="0" fieldPosition="0"/>
    </format>
    <format dxfId="1093">
      <pivotArea dataOnly="0" labelOnly="1" fieldPosition="0">
        <references count="1">
          <reference field="18" count="0"/>
        </references>
      </pivotArea>
    </format>
    <format dxfId="1092">
      <pivotArea dataOnly="0" labelOnly="1" grandCol="1" outline="0" fieldPosition="0"/>
    </format>
    <format dxfId="1091">
      <pivotArea field="4" type="button" dataOnly="0" labelOnly="1" outline="0" axis="axisRow" fieldPosition="0"/>
    </format>
    <format dxfId="1090">
      <pivotArea dataOnly="0" labelOnly="1" fieldPosition="0">
        <references count="1">
          <reference field="18" count="0"/>
        </references>
      </pivotArea>
    </format>
    <format dxfId="1089">
      <pivotArea dataOnly="0" labelOnly="1" grandCol="1" outline="0" fieldPosition="0"/>
    </format>
    <format dxfId="1088">
      <pivotArea field="4" type="button" dataOnly="0" labelOnly="1" outline="0" axis="axisRow" fieldPosition="0"/>
    </format>
    <format dxfId="1087">
      <pivotArea dataOnly="0" labelOnly="1" fieldPosition="0">
        <references count="1">
          <reference field="18" count="0"/>
        </references>
      </pivotArea>
    </format>
    <format dxfId="1086">
      <pivotArea dataOnly="0" labelOnly="1" grandCol="1" outline="0" fieldPosition="0"/>
    </format>
    <format dxfId="1085">
      <pivotArea type="origin" dataOnly="0" labelOnly="1" outline="0" fieldPosition="0"/>
    </format>
    <format dxfId="1084">
      <pivotArea field="18" type="button" dataOnly="0" labelOnly="1" outline="0" axis="axisCol" fieldPosition="0"/>
    </format>
    <format dxfId="1083">
      <pivotArea type="topRight" dataOnly="0" labelOnly="1" outline="0" fieldPosition="0"/>
    </format>
    <format dxfId="1082">
      <pivotArea outline="0" collapsedLevelsAreSubtotals="1" fieldPosition="0"/>
    </format>
    <format dxfId="1081">
      <pivotArea dataOnly="0" labelOnly="1" outline="0" fieldPosition="0">
        <references count="1">
          <reference field="25" count="0"/>
        </references>
      </pivotArea>
    </format>
    <format dxfId="1080">
      <pivotArea field="18" type="button" dataOnly="0" labelOnly="1" outline="0" axis="axisCol" fieldPosition="0"/>
    </format>
    <format dxfId="1079">
      <pivotArea field="-2" type="button" dataOnly="0" labelOnly="1" outline="0" axis="axisCol" fieldPosition="1"/>
    </format>
    <format dxfId="1078">
      <pivotArea type="topRight" dataOnly="0" labelOnly="1" outline="0" fieldPosition="0"/>
    </format>
    <format dxfId="1077">
      <pivotArea dataOnly="0" labelOnly="1" fieldPosition="0">
        <references count="1">
          <reference field="18" count="0"/>
        </references>
      </pivotArea>
    </format>
    <format dxfId="1076">
      <pivotArea field="18" dataOnly="0" labelOnly="1" grandCol="1" outline="0" axis="axisCol" fieldPosition="0">
        <references count="1">
          <reference field="4294967294" count="1" selected="0">
            <x v="0"/>
          </reference>
        </references>
      </pivotArea>
    </format>
    <format dxfId="1075">
      <pivotArea field="18" dataOnly="0" labelOnly="1" grandCol="1" outline="0" axis="axisCol" fieldPosition="0">
        <references count="1">
          <reference field="4294967294" count="1" selected="0">
            <x v="0"/>
          </reference>
        </references>
      </pivotArea>
    </format>
    <format dxfId="1074">
      <pivotArea dataOnly="0" labelOnly="1" outline="0" fieldPosition="0">
        <references count="2">
          <reference field="4294967294" count="1">
            <x v="0"/>
          </reference>
          <reference field="18" count="1" selected="0">
            <x v="0"/>
          </reference>
        </references>
      </pivotArea>
    </format>
    <format dxfId="1073">
      <pivotArea dataOnly="0" labelOnly="1" outline="0" fieldPosition="0">
        <references count="2">
          <reference field="4294967294" count="1">
            <x v="0"/>
          </reference>
          <reference field="18" count="1" selected="0">
            <x v="1"/>
          </reference>
        </references>
      </pivotArea>
    </format>
    <format dxfId="1072">
      <pivotArea field="4" type="button" dataOnly="0" labelOnly="1" outline="0" axis="axisRow" fieldPosition="0"/>
    </format>
    <format dxfId="1071">
      <pivotArea field="18" dataOnly="0" labelOnly="1" grandCol="1" outline="0" axis="axisCol" fieldPosition="0">
        <references count="1">
          <reference field="4294967294" count="1" selected="0">
            <x v="0"/>
          </reference>
        </references>
      </pivotArea>
    </format>
    <format dxfId="1070">
      <pivotArea field="18" dataOnly="0" labelOnly="1" grandCol="1" outline="0" axis="axisCol" fieldPosition="0">
        <references count="1">
          <reference field="4294967294" count="1" selected="0">
            <x v="0"/>
          </reference>
        </references>
      </pivotArea>
    </format>
    <format dxfId="1069">
      <pivotArea dataOnly="0" labelOnly="1" outline="0" fieldPosition="0">
        <references count="2">
          <reference field="4294967294" count="1">
            <x v="0"/>
          </reference>
          <reference field="18" count="1" selected="0">
            <x v="0"/>
          </reference>
        </references>
      </pivotArea>
    </format>
    <format dxfId="1068">
      <pivotArea dataOnly="0" labelOnly="1" outline="0" fieldPosition="0">
        <references count="2">
          <reference field="4294967294" count="1">
            <x v="0"/>
          </reference>
          <reference field="18" count="1" selected="0">
            <x v="1"/>
          </reference>
        </references>
      </pivotArea>
    </format>
    <format dxfId="1067">
      <pivotArea field="4" type="button" dataOnly="0" labelOnly="1" outline="0" axis="axisRow" fieldPosition="0"/>
    </format>
    <format dxfId="1066">
      <pivotArea field="18" dataOnly="0" labelOnly="1" grandCol="1" outline="0" axis="axisCol" fieldPosition="0">
        <references count="1">
          <reference field="4294967294" count="1" selected="0">
            <x v="0"/>
          </reference>
        </references>
      </pivotArea>
    </format>
    <format dxfId="1065">
      <pivotArea field="18" dataOnly="0" labelOnly="1" grandCol="1" outline="0" axis="axisCol" fieldPosition="0">
        <references count="1">
          <reference field="4294967294" count="1" selected="0">
            <x v="0"/>
          </reference>
        </references>
      </pivotArea>
    </format>
    <format dxfId="1064">
      <pivotArea dataOnly="0" labelOnly="1" outline="0" fieldPosition="0">
        <references count="2">
          <reference field="4294967294" count="1">
            <x v="0"/>
          </reference>
          <reference field="18" count="1" selected="0">
            <x v="0"/>
          </reference>
        </references>
      </pivotArea>
    </format>
    <format dxfId="1063">
      <pivotArea dataOnly="0" labelOnly="1" outline="0" fieldPosition="0">
        <references count="2">
          <reference field="4294967294" count="1">
            <x v="0"/>
          </reference>
          <reference field="18" count="1" selected="0">
            <x v="1"/>
          </reference>
        </references>
      </pivotArea>
    </format>
    <format dxfId="1062">
      <pivotArea field="4" type="button" dataOnly="0" labelOnly="1" outline="0" axis="axisRow" fieldPosition="0"/>
    </format>
    <format dxfId="1061">
      <pivotArea field="18" dataOnly="0" labelOnly="1" grandCol="1" outline="0" axis="axisCol" fieldPosition="0">
        <references count="1">
          <reference field="4294967294" count="1" selected="0">
            <x v="0"/>
          </reference>
        </references>
      </pivotArea>
    </format>
    <format dxfId="1060">
      <pivotArea field="18" dataOnly="0" labelOnly="1" grandCol="1" outline="0" axis="axisCol" fieldPosition="0">
        <references count="1">
          <reference field="4294967294" count="1" selected="0">
            <x v="0"/>
          </reference>
        </references>
      </pivotArea>
    </format>
    <format dxfId="1059">
      <pivotArea dataOnly="0" labelOnly="1" outline="0" fieldPosition="0">
        <references count="2">
          <reference field="4294967294" count="1">
            <x v="0"/>
          </reference>
          <reference field="18" count="1" selected="0">
            <x v="0"/>
          </reference>
        </references>
      </pivotArea>
    </format>
    <format dxfId="1058">
      <pivotArea dataOnly="0" labelOnly="1" outline="0" fieldPosition="0">
        <references count="2">
          <reference field="4294967294" count="1">
            <x v="0"/>
          </reference>
          <reference field="18" count="1" selected="0">
            <x v="1"/>
          </reference>
        </references>
      </pivotArea>
    </format>
    <format dxfId="1057">
      <pivotArea field="4" type="button" dataOnly="0" labelOnly="1" outline="0" axis="axisRow" fieldPosition="0"/>
    </format>
    <format dxfId="1056">
      <pivotArea field="18" dataOnly="0" labelOnly="1" grandCol="1" outline="0" axis="axisCol" fieldPosition="0">
        <references count="1">
          <reference field="4294967294" count="1" selected="0">
            <x v="0"/>
          </reference>
        </references>
      </pivotArea>
    </format>
    <format dxfId="1055">
      <pivotArea field="18" dataOnly="0" labelOnly="1" grandCol="1" outline="0" axis="axisCol" fieldPosition="0">
        <references count="1">
          <reference field="4294967294" count="1" selected="0">
            <x v="0"/>
          </reference>
        </references>
      </pivotArea>
    </format>
    <format dxfId="1054">
      <pivotArea dataOnly="0" labelOnly="1" outline="0" fieldPosition="0">
        <references count="2">
          <reference field="4294967294" count="1">
            <x v="0"/>
          </reference>
          <reference field="18" count="1" selected="0">
            <x v="0"/>
          </reference>
        </references>
      </pivotArea>
    </format>
    <format dxfId="1053">
      <pivotArea dataOnly="0" labelOnly="1" outline="0" fieldPosition="0">
        <references count="2">
          <reference field="4294967294" count="1">
            <x v="0"/>
          </reference>
          <reference field="18" count="1" selected="0">
            <x v="1"/>
          </reference>
        </references>
      </pivotArea>
    </format>
    <format dxfId="1052">
      <pivotArea type="all" dataOnly="0" outline="0" fieldPosition="0"/>
    </format>
    <format dxfId="1051">
      <pivotArea outline="0" collapsedLevelsAreSubtotals="1" fieldPosition="0"/>
    </format>
    <format dxfId="1050">
      <pivotArea type="origin" dataOnly="0" labelOnly="1" outline="0" fieldPosition="0"/>
    </format>
    <format dxfId="1049">
      <pivotArea field="18" type="button" dataOnly="0" labelOnly="1" outline="0" axis="axisCol" fieldPosition="0"/>
    </format>
    <format dxfId="1048">
      <pivotArea field="-2" type="button" dataOnly="0" labelOnly="1" outline="0" axis="axisCol" fieldPosition="1"/>
    </format>
    <format dxfId="1047">
      <pivotArea type="topRight" dataOnly="0" labelOnly="1" outline="0" fieldPosition="0"/>
    </format>
    <format dxfId="1046">
      <pivotArea field="4" type="button" dataOnly="0" labelOnly="1" outline="0" axis="axisRow" fieldPosition="0"/>
    </format>
    <format dxfId="1045">
      <pivotArea dataOnly="0" labelOnly="1" grandRow="1" outline="0" fieldPosition="0"/>
    </format>
    <format dxfId="1044">
      <pivotArea dataOnly="0" labelOnly="1" fieldPosition="0">
        <references count="1">
          <reference field="18" count="0"/>
        </references>
      </pivotArea>
    </format>
    <format dxfId="1043">
      <pivotArea field="18" dataOnly="0" labelOnly="1" grandCol="1" outline="0" axis="axisCol" fieldPosition="0">
        <references count="1">
          <reference field="4294967294" count="1" selected="0">
            <x v="0"/>
          </reference>
        </references>
      </pivotArea>
    </format>
    <format dxfId="1042">
      <pivotArea field="18" dataOnly="0" labelOnly="1" grandCol="1" outline="0" axis="axisCol" fieldPosition="0">
        <references count="1">
          <reference field="4294967294" count="1" selected="0">
            <x v="0"/>
          </reference>
        </references>
      </pivotArea>
    </format>
    <format dxfId="1041">
      <pivotArea dataOnly="0" labelOnly="1" outline="0" fieldPosition="0">
        <references count="2">
          <reference field="4294967294" count="1">
            <x v="0"/>
          </reference>
          <reference field="18" count="1" selected="0">
            <x v="0"/>
          </reference>
        </references>
      </pivotArea>
    </format>
    <format dxfId="1040">
      <pivotArea dataOnly="0" labelOnly="1" outline="0" fieldPosition="0">
        <references count="2">
          <reference field="4294967294" count="1">
            <x v="0"/>
          </reference>
          <reference field="18" count="1" selected="0">
            <x v="1"/>
          </reference>
        </references>
      </pivotArea>
    </format>
    <format dxfId="1039">
      <pivotArea type="all" dataOnly="0" outline="0" fieldPosition="0"/>
    </format>
    <format dxfId="1038">
      <pivotArea outline="0" collapsedLevelsAreSubtotals="1" fieldPosition="0"/>
    </format>
    <format dxfId="1037">
      <pivotArea type="origin" dataOnly="0" labelOnly="1" outline="0" fieldPosition="0"/>
    </format>
    <format dxfId="1036">
      <pivotArea field="18" type="button" dataOnly="0" labelOnly="1" outline="0" axis="axisCol" fieldPosition="0"/>
    </format>
    <format dxfId="1035">
      <pivotArea field="-2" type="button" dataOnly="0" labelOnly="1" outline="0" axis="axisCol" fieldPosition="1"/>
    </format>
    <format dxfId="1034">
      <pivotArea type="topRight" dataOnly="0" labelOnly="1" outline="0" fieldPosition="0"/>
    </format>
    <format dxfId="1033">
      <pivotArea field="4" type="button" dataOnly="0" labelOnly="1" outline="0" axis="axisRow" fieldPosition="0"/>
    </format>
    <format dxfId="1032">
      <pivotArea dataOnly="0" labelOnly="1" grandRow="1" outline="0" fieldPosition="0"/>
    </format>
    <format dxfId="1031">
      <pivotArea dataOnly="0" labelOnly="1" fieldPosition="0">
        <references count="1">
          <reference field="18" count="0"/>
        </references>
      </pivotArea>
    </format>
    <format dxfId="1030">
      <pivotArea field="18" dataOnly="0" labelOnly="1" grandCol="1" outline="0" axis="axisCol" fieldPosition="0">
        <references count="1">
          <reference field="4294967294" count="1" selected="0">
            <x v="0"/>
          </reference>
        </references>
      </pivotArea>
    </format>
    <format dxfId="1029">
      <pivotArea field="18" dataOnly="0" labelOnly="1" grandCol="1" outline="0" axis="axisCol" fieldPosition="0">
        <references count="1">
          <reference field="4294967294" count="1" selected="0">
            <x v="0"/>
          </reference>
        </references>
      </pivotArea>
    </format>
    <format dxfId="1028">
      <pivotArea dataOnly="0" labelOnly="1" outline="0" fieldPosition="0">
        <references count="2">
          <reference field="4294967294" count="1">
            <x v="0"/>
          </reference>
          <reference field="18" count="1" selected="0">
            <x v="0"/>
          </reference>
        </references>
      </pivotArea>
    </format>
    <format dxfId="1027">
      <pivotArea dataOnly="0" labelOnly="1" outline="0" fieldPosition="0">
        <references count="2">
          <reference field="4294967294" count="1">
            <x v="0"/>
          </reference>
          <reference field="18" count="1" selected="0">
            <x v="1"/>
          </reference>
        </references>
      </pivotArea>
    </format>
    <format dxfId="1026">
      <pivotArea field="4" type="button" dataOnly="0" labelOnly="1" outline="0" axis="axisRow" fieldPosition="0"/>
    </format>
    <format dxfId="1025">
      <pivotArea field="18" dataOnly="0" labelOnly="1" grandCol="1" outline="0" axis="axisCol" fieldPosition="0">
        <references count="1">
          <reference field="4294967294" count="1" selected="0">
            <x v="0"/>
          </reference>
        </references>
      </pivotArea>
    </format>
    <format dxfId="1024">
      <pivotArea field="18" dataOnly="0" labelOnly="1" grandCol="1" outline="0" axis="axisCol" fieldPosition="0">
        <references count="1">
          <reference field="4294967294" count="1" selected="0">
            <x v="0"/>
          </reference>
        </references>
      </pivotArea>
    </format>
    <format dxfId="1023">
      <pivotArea dataOnly="0" labelOnly="1" outline="0" fieldPosition="0">
        <references count="2">
          <reference field="4294967294" count="1">
            <x v="0"/>
          </reference>
          <reference field="18" count="1" selected="0">
            <x v="0"/>
          </reference>
        </references>
      </pivotArea>
    </format>
    <format dxfId="1022">
      <pivotArea dataOnly="0" labelOnly="1" outline="0" fieldPosition="0">
        <references count="2">
          <reference field="4294967294" count="1">
            <x v="0"/>
          </reference>
          <reference field="18" count="1" selected="0">
            <x v="1"/>
          </reference>
        </references>
      </pivotArea>
    </format>
    <format dxfId="1021">
      <pivotArea field="4" type="button" dataOnly="0" labelOnly="1" outline="0" axis="axisRow" fieldPosition="0"/>
    </format>
    <format dxfId="1020">
      <pivotArea field="18" dataOnly="0" labelOnly="1" grandCol="1" outline="0" axis="axisCol" fieldPosition="0">
        <references count="1">
          <reference field="4294967294" count="1" selected="0">
            <x v="0"/>
          </reference>
        </references>
      </pivotArea>
    </format>
    <format dxfId="1019">
      <pivotArea field="18" dataOnly="0" labelOnly="1" grandCol="1" outline="0" axis="axisCol" fieldPosition="0">
        <references count="1">
          <reference field="4294967294" count="1" selected="0">
            <x v="0"/>
          </reference>
        </references>
      </pivotArea>
    </format>
    <format dxfId="1018">
      <pivotArea dataOnly="0" labelOnly="1" outline="0" fieldPosition="0">
        <references count="2">
          <reference field="4294967294" count="1">
            <x v="0"/>
          </reference>
          <reference field="18" count="1" selected="0">
            <x v="0"/>
          </reference>
        </references>
      </pivotArea>
    </format>
    <format dxfId="1017">
      <pivotArea dataOnly="0" labelOnly="1" outline="0" fieldPosition="0">
        <references count="2">
          <reference field="4294967294" count="1">
            <x v="0"/>
          </reference>
          <reference field="18" count="1" selected="0">
            <x v="1"/>
          </reference>
        </references>
      </pivotArea>
    </format>
    <format dxfId="1016">
      <pivotArea type="origin" dataOnly="0" labelOnly="1" outline="0" fieldPosition="0"/>
    </format>
    <format dxfId="1015">
      <pivotArea field="18" type="button" dataOnly="0" labelOnly="1" outline="0" axis="axisCol" fieldPosition="0"/>
    </format>
    <format dxfId="1014">
      <pivotArea field="-2" type="button" dataOnly="0" labelOnly="1" outline="0" axis="axisCol" fieldPosition="1"/>
    </format>
    <format dxfId="1013">
      <pivotArea type="topRight" dataOnly="0" labelOnly="1" outline="0" fieldPosition="0"/>
    </format>
    <format dxfId="1012">
      <pivotArea field="4" type="button" dataOnly="0" labelOnly="1" outline="0" axis="axisRow" fieldPosition="0"/>
    </format>
    <format dxfId="1011">
      <pivotArea dataOnly="0" labelOnly="1" fieldPosition="0">
        <references count="1">
          <reference field="18" count="0"/>
        </references>
      </pivotArea>
    </format>
    <format dxfId="1010">
      <pivotArea field="18" dataOnly="0" labelOnly="1" grandCol="1" outline="0" axis="axisCol" fieldPosition="0">
        <references count="1">
          <reference field="4294967294" count="1" selected="0">
            <x v="0"/>
          </reference>
        </references>
      </pivotArea>
    </format>
    <format dxfId="1009">
      <pivotArea field="18" dataOnly="0" labelOnly="1" grandCol="1" outline="0" axis="axisCol" fieldPosition="0">
        <references count="1">
          <reference field="4294967294" count="1" selected="0">
            <x v="0"/>
          </reference>
        </references>
      </pivotArea>
    </format>
    <format dxfId="1008">
      <pivotArea dataOnly="0" labelOnly="1" outline="0" fieldPosition="0">
        <references count="2">
          <reference field="4294967294" count="1">
            <x v="0"/>
          </reference>
          <reference field="18" count="1" selected="0">
            <x v="0"/>
          </reference>
        </references>
      </pivotArea>
    </format>
    <format dxfId="1007">
      <pivotArea dataOnly="0" labelOnly="1" outline="0" fieldPosition="0">
        <references count="2">
          <reference field="4294967294" count="1">
            <x v="0"/>
          </reference>
          <reference field="18" count="1" selected="0">
            <x v="1"/>
          </reference>
        </references>
      </pivotArea>
    </format>
    <format dxfId="1006">
      <pivotArea type="origin" dataOnly="0" labelOnly="1" outline="0" fieldPosition="0"/>
    </format>
    <format dxfId="1005">
      <pivotArea field="18" type="button" dataOnly="0" labelOnly="1" outline="0" axis="axisCol" fieldPosition="0"/>
    </format>
    <format dxfId="1004">
      <pivotArea field="-2" type="button" dataOnly="0" labelOnly="1" outline="0" axis="axisCol" fieldPosition="1"/>
    </format>
    <format dxfId="1003">
      <pivotArea type="topRight" dataOnly="0" labelOnly="1" outline="0" fieldPosition="0"/>
    </format>
    <format dxfId="1002">
      <pivotArea field="4" type="button" dataOnly="0" labelOnly="1" outline="0" axis="axisRow" fieldPosition="0"/>
    </format>
    <format dxfId="1001">
      <pivotArea dataOnly="0" labelOnly="1" fieldPosition="0">
        <references count="1">
          <reference field="18" count="0"/>
        </references>
      </pivotArea>
    </format>
    <format dxfId="1000">
      <pivotArea field="18" dataOnly="0" labelOnly="1" grandCol="1" outline="0" axis="axisCol" fieldPosition="0">
        <references count="1">
          <reference field="4294967294" count="1" selected="0">
            <x v="0"/>
          </reference>
        </references>
      </pivotArea>
    </format>
    <format dxfId="999">
      <pivotArea field="18" dataOnly="0" labelOnly="1" grandCol="1" outline="0" axis="axisCol" fieldPosition="0">
        <references count="1">
          <reference field="4294967294" count="1" selected="0">
            <x v="0"/>
          </reference>
        </references>
      </pivotArea>
    </format>
    <format dxfId="998">
      <pivotArea dataOnly="0" labelOnly="1" outline="0" fieldPosition="0">
        <references count="2">
          <reference field="4294967294" count="1">
            <x v="0"/>
          </reference>
          <reference field="18" count="1" selected="0">
            <x v="0"/>
          </reference>
        </references>
      </pivotArea>
    </format>
    <format dxfId="997">
      <pivotArea dataOnly="0" labelOnly="1" outline="0" fieldPosition="0">
        <references count="2">
          <reference field="4294967294" count="1">
            <x v="0"/>
          </reference>
          <reference field="18" count="1" selected="0">
            <x v="1"/>
          </reference>
        </references>
      </pivotArea>
    </format>
    <format dxfId="996">
      <pivotArea field="4" type="button" dataOnly="0" labelOnly="1" outline="0" axis="axisRow" fieldPosition="0"/>
    </format>
    <format dxfId="995">
      <pivotArea field="18" dataOnly="0" labelOnly="1" grandCol="1" outline="0" axis="axisCol" fieldPosition="0">
        <references count="1">
          <reference field="4294967294" count="1" selected="0">
            <x v="0"/>
          </reference>
        </references>
      </pivotArea>
    </format>
    <format dxfId="994">
      <pivotArea field="18" dataOnly="0" labelOnly="1" grandCol="1" outline="0" axis="axisCol" fieldPosition="0">
        <references count="1">
          <reference field="4294967294" count="1" selected="0">
            <x v="1"/>
          </reference>
        </references>
      </pivotArea>
    </format>
    <format dxfId="993">
      <pivotArea field="18" dataOnly="0" labelOnly="1" grandCol="1" outline="0" axis="axisCol" fieldPosition="0">
        <references count="1">
          <reference field="4294967294" count="1" selected="0">
            <x v="0"/>
          </reference>
        </references>
      </pivotArea>
    </format>
    <format dxfId="992">
      <pivotArea field="18" dataOnly="0" labelOnly="1" grandCol="1" outline="0" axis="axisCol" fieldPosition="0">
        <references count="1">
          <reference field="4294967294" count="1" selected="0">
            <x v="1"/>
          </reference>
        </references>
      </pivotArea>
    </format>
    <format dxfId="991">
      <pivotArea dataOnly="0" labelOnly="1" outline="0" fieldPosition="0">
        <references count="2">
          <reference field="4294967294" count="2">
            <x v="0"/>
            <x v="1"/>
          </reference>
          <reference field="18" count="1" selected="0">
            <x v="0"/>
          </reference>
        </references>
      </pivotArea>
    </format>
    <format dxfId="990">
      <pivotArea dataOnly="0" labelOnly="1" outline="0" fieldPosition="0">
        <references count="2">
          <reference field="4294967294" count="2">
            <x v="0"/>
            <x v="1"/>
          </reference>
          <reference field="18" count="1" selected="0">
            <x v="1"/>
          </reference>
        </references>
      </pivotArea>
    </format>
    <format dxfId="989">
      <pivotArea field="4" type="button" dataOnly="0" labelOnly="1" outline="0" axis="axisRow" fieldPosition="0"/>
    </format>
    <format dxfId="988">
      <pivotArea field="18" dataOnly="0" labelOnly="1" grandCol="1" outline="0" axis="axisCol" fieldPosition="0">
        <references count="1">
          <reference field="4294967294" count="1" selected="0">
            <x v="0"/>
          </reference>
        </references>
      </pivotArea>
    </format>
    <format dxfId="987">
      <pivotArea field="18" dataOnly="0" labelOnly="1" grandCol="1" outline="0" axis="axisCol" fieldPosition="0">
        <references count="1">
          <reference field="4294967294" count="1" selected="0">
            <x v="1"/>
          </reference>
        </references>
      </pivotArea>
    </format>
    <format dxfId="986">
      <pivotArea field="18" dataOnly="0" labelOnly="1" grandCol="1" outline="0" axis="axisCol" fieldPosition="0">
        <references count="1">
          <reference field="4294967294" count="1" selected="0">
            <x v="0"/>
          </reference>
        </references>
      </pivotArea>
    </format>
    <format dxfId="985">
      <pivotArea field="18" dataOnly="0" labelOnly="1" grandCol="1" outline="0" axis="axisCol" fieldPosition="0">
        <references count="1">
          <reference field="4294967294" count="1" selected="0">
            <x v="1"/>
          </reference>
        </references>
      </pivotArea>
    </format>
    <format dxfId="984">
      <pivotArea dataOnly="0" labelOnly="1" outline="0" fieldPosition="0">
        <references count="2">
          <reference field="4294967294" count="2">
            <x v="0"/>
            <x v="1"/>
          </reference>
          <reference field="18" count="1" selected="0">
            <x v="0"/>
          </reference>
        </references>
      </pivotArea>
    </format>
    <format dxfId="983">
      <pivotArea dataOnly="0" labelOnly="1" outline="0" fieldPosition="0">
        <references count="2">
          <reference field="4294967294" count="2">
            <x v="0"/>
            <x v="1"/>
          </reference>
          <reference field="18" count="1" selected="0">
            <x v="1"/>
          </reference>
        </references>
      </pivotArea>
    </format>
    <format dxfId="982">
      <pivotArea field="4" type="button" dataOnly="0" labelOnly="1" outline="0" axis="axisRow" fieldPosition="0"/>
    </format>
    <format dxfId="981">
      <pivotArea field="18" dataOnly="0" labelOnly="1" grandCol="1" outline="0" axis="axisCol" fieldPosition="0">
        <references count="1">
          <reference field="4294967294" count="1" selected="0">
            <x v="0"/>
          </reference>
        </references>
      </pivotArea>
    </format>
    <format dxfId="980">
      <pivotArea field="18" dataOnly="0" labelOnly="1" grandCol="1" outline="0" axis="axisCol" fieldPosition="0">
        <references count="1">
          <reference field="4294967294" count="1" selected="0">
            <x v="1"/>
          </reference>
        </references>
      </pivotArea>
    </format>
    <format dxfId="979">
      <pivotArea field="18" dataOnly="0" labelOnly="1" grandCol="1" outline="0" axis="axisCol" fieldPosition="0">
        <references count="1">
          <reference field="4294967294" count="1" selected="0">
            <x v="0"/>
          </reference>
        </references>
      </pivotArea>
    </format>
    <format dxfId="978">
      <pivotArea field="18" dataOnly="0" labelOnly="1" grandCol="1" outline="0" axis="axisCol" fieldPosition="0">
        <references count="1">
          <reference field="4294967294" count="1" selected="0">
            <x v="1"/>
          </reference>
        </references>
      </pivotArea>
    </format>
    <format dxfId="977">
      <pivotArea dataOnly="0" labelOnly="1" outline="0" fieldPosition="0">
        <references count="2">
          <reference field="4294967294" count="2">
            <x v="0"/>
            <x v="1"/>
          </reference>
          <reference field="18" count="1" selected="0">
            <x v="0"/>
          </reference>
        </references>
      </pivotArea>
    </format>
    <format dxfId="976">
      <pivotArea dataOnly="0" labelOnly="1" outline="0" fieldPosition="0">
        <references count="2">
          <reference field="4294967294" count="2">
            <x v="0"/>
            <x v="1"/>
          </reference>
          <reference field="18" count="1" selected="0">
            <x v="1"/>
          </reference>
        </references>
      </pivotArea>
    </format>
    <format dxfId="975">
      <pivotArea field="4" type="button" dataOnly="0" labelOnly="1" outline="0" axis="axisRow" fieldPosition="0"/>
    </format>
    <format dxfId="974">
      <pivotArea field="18" dataOnly="0" labelOnly="1" grandCol="1" outline="0" axis="axisCol" fieldPosition="0">
        <references count="1">
          <reference field="4294967294" count="1" selected="0">
            <x v="0"/>
          </reference>
        </references>
      </pivotArea>
    </format>
    <format dxfId="973">
      <pivotArea field="18" dataOnly="0" labelOnly="1" grandCol="1" outline="0" axis="axisCol" fieldPosition="0">
        <references count="1">
          <reference field="4294967294" count="1" selected="0">
            <x v="1"/>
          </reference>
        </references>
      </pivotArea>
    </format>
    <format dxfId="972">
      <pivotArea field="18" dataOnly="0" labelOnly="1" grandCol="1" outline="0" axis="axisCol" fieldPosition="0">
        <references count="1">
          <reference field="4294967294" count="1" selected="0">
            <x v="0"/>
          </reference>
        </references>
      </pivotArea>
    </format>
    <format dxfId="971">
      <pivotArea field="18" dataOnly="0" labelOnly="1" grandCol="1" outline="0" axis="axisCol" fieldPosition="0">
        <references count="1">
          <reference field="4294967294" count="1" selected="0">
            <x v="1"/>
          </reference>
        </references>
      </pivotArea>
    </format>
    <format dxfId="970">
      <pivotArea dataOnly="0" labelOnly="1" outline="0" fieldPosition="0">
        <references count="2">
          <reference field="4294967294" count="2">
            <x v="0"/>
            <x v="1"/>
          </reference>
          <reference field="18" count="1" selected="0">
            <x v="0"/>
          </reference>
        </references>
      </pivotArea>
    </format>
    <format dxfId="969">
      <pivotArea dataOnly="0" labelOnly="1" outline="0" fieldPosition="0">
        <references count="2">
          <reference field="4294967294" count="2">
            <x v="0"/>
            <x v="1"/>
          </reference>
          <reference field="18" count="1" selected="0">
            <x v="1"/>
          </reference>
        </references>
      </pivotArea>
    </format>
    <format dxfId="968">
      <pivotArea field="4" type="button" dataOnly="0" labelOnly="1" outline="0" axis="axisRow" fieldPosition="0"/>
    </format>
    <format dxfId="967">
      <pivotArea field="18" dataOnly="0" labelOnly="1" grandCol="1" outline="0" axis="axisCol" fieldPosition="0">
        <references count="1">
          <reference field="4294967294" count="1" selected="0">
            <x v="0"/>
          </reference>
        </references>
      </pivotArea>
    </format>
    <format dxfId="966">
      <pivotArea field="18" dataOnly="0" labelOnly="1" grandCol="1" outline="0" axis="axisCol" fieldPosition="0">
        <references count="1">
          <reference field="4294967294" count="1" selected="0">
            <x v="1"/>
          </reference>
        </references>
      </pivotArea>
    </format>
    <format dxfId="965">
      <pivotArea field="18" dataOnly="0" labelOnly="1" grandCol="1" outline="0" axis="axisCol" fieldPosition="0">
        <references count="1">
          <reference field="4294967294" count="1" selected="0">
            <x v="0"/>
          </reference>
        </references>
      </pivotArea>
    </format>
    <format dxfId="964">
      <pivotArea field="18" dataOnly="0" labelOnly="1" grandCol="1" outline="0" axis="axisCol" fieldPosition="0">
        <references count="1">
          <reference field="4294967294" count="1" selected="0">
            <x v="1"/>
          </reference>
        </references>
      </pivotArea>
    </format>
    <format dxfId="963">
      <pivotArea dataOnly="0" labelOnly="1" outline="0" fieldPosition="0">
        <references count="2">
          <reference field="4294967294" count="2">
            <x v="0"/>
            <x v="1"/>
          </reference>
          <reference field="18" count="1" selected="0">
            <x v="0"/>
          </reference>
        </references>
      </pivotArea>
    </format>
    <format dxfId="962">
      <pivotArea dataOnly="0" labelOnly="1" outline="0" fieldPosition="0">
        <references count="2">
          <reference field="4294967294" count="2">
            <x v="0"/>
            <x v="1"/>
          </reference>
          <reference field="18" count="1" selected="0">
            <x v="1"/>
          </reference>
        </references>
      </pivotArea>
    </format>
    <format dxfId="961">
      <pivotArea field="4" type="button" dataOnly="0" labelOnly="1" outline="0" axis="axisRow" fieldPosition="0"/>
    </format>
    <format dxfId="960">
      <pivotArea field="18" dataOnly="0" labelOnly="1" grandCol="1" outline="0" axis="axisCol" fieldPosition="0">
        <references count="1">
          <reference field="4294967294" count="1" selected="0">
            <x v="0"/>
          </reference>
        </references>
      </pivotArea>
    </format>
    <format dxfId="959">
      <pivotArea field="18" dataOnly="0" labelOnly="1" grandCol="1" outline="0" axis="axisCol" fieldPosition="0">
        <references count="1">
          <reference field="4294967294" count="1" selected="0">
            <x v="1"/>
          </reference>
        </references>
      </pivotArea>
    </format>
    <format dxfId="958">
      <pivotArea field="18" dataOnly="0" labelOnly="1" grandCol="1" outline="0" axis="axisCol" fieldPosition="0">
        <references count="1">
          <reference field="4294967294" count="1" selected="0">
            <x v="0"/>
          </reference>
        </references>
      </pivotArea>
    </format>
    <format dxfId="957">
      <pivotArea field="18" dataOnly="0" labelOnly="1" grandCol="1" outline="0" axis="axisCol" fieldPosition="0">
        <references count="1">
          <reference field="4294967294" count="1" selected="0">
            <x v="1"/>
          </reference>
        </references>
      </pivotArea>
    </format>
    <format dxfId="956">
      <pivotArea dataOnly="0" labelOnly="1" outline="0" fieldPosition="0">
        <references count="2">
          <reference field="4294967294" count="2">
            <x v="0"/>
            <x v="1"/>
          </reference>
          <reference field="18" count="1" selected="0">
            <x v="0"/>
          </reference>
        </references>
      </pivotArea>
    </format>
    <format dxfId="955">
      <pivotArea dataOnly="0" labelOnly="1" outline="0" fieldPosition="0">
        <references count="2">
          <reference field="4294967294" count="2">
            <x v="0"/>
            <x v="1"/>
          </reference>
          <reference field="18" count="1" selected="0">
            <x v="1"/>
          </reference>
        </references>
      </pivotArea>
    </format>
    <format dxfId="954">
      <pivotArea outline="0" collapsedLevelsAreSubtotals="1" fieldPosition="0">
        <references count="2">
          <reference field="4294967294" count="1" selected="0">
            <x v="1"/>
          </reference>
          <reference field="18" count="1" selected="0">
            <x v="0"/>
          </reference>
        </references>
      </pivotArea>
    </format>
    <format dxfId="953">
      <pivotArea field="18" grandRow="1" outline="0" collapsedLevelsAreSubtotals="1" axis="axisCol" fieldPosition="0">
        <references count="2">
          <reference field="4294967294" count="1" selected="0">
            <x v="1"/>
          </reference>
          <reference field="18" count="1" selected="0">
            <x v="1"/>
          </reference>
        </references>
      </pivotArea>
    </format>
    <format dxfId="952">
      <pivotArea grandRow="1" grandCol="1" outline="0" collapsedLevelsAreSubtotals="1" fieldPosition="0">
        <references count="1">
          <reference field="4294967294" count="1" selected="0">
            <x v="1"/>
          </reference>
        </references>
      </pivotArea>
    </format>
    <format dxfId="951">
      <pivotArea type="all" dataOnly="0" outline="0" fieldPosition="0"/>
    </format>
    <format dxfId="950">
      <pivotArea outline="0" collapsedLevelsAreSubtotals="1" fieldPosition="0"/>
    </format>
    <format dxfId="949">
      <pivotArea type="origin" dataOnly="0" labelOnly="1" outline="0" fieldPosition="0"/>
    </format>
    <format dxfId="948">
      <pivotArea field="18" type="button" dataOnly="0" labelOnly="1" outline="0" axis="axisCol" fieldPosition="0"/>
    </format>
    <format dxfId="947">
      <pivotArea field="-2" type="button" dataOnly="0" labelOnly="1" outline="0" axis="axisCol" fieldPosition="1"/>
    </format>
    <format dxfId="946">
      <pivotArea type="topRight" dataOnly="0" labelOnly="1" outline="0" fieldPosition="0"/>
    </format>
    <format dxfId="945">
      <pivotArea field="4" type="button" dataOnly="0" labelOnly="1" outline="0" axis="axisRow" fieldPosition="0"/>
    </format>
    <format dxfId="944">
      <pivotArea dataOnly="0" labelOnly="1" grandRow="1" outline="0" fieldPosition="0"/>
    </format>
    <format dxfId="943">
      <pivotArea dataOnly="0" labelOnly="1" fieldPosition="0">
        <references count="1">
          <reference field="18" count="0"/>
        </references>
      </pivotArea>
    </format>
    <format dxfId="942">
      <pivotArea field="18" dataOnly="0" labelOnly="1" grandCol="1" outline="0" axis="axisCol" fieldPosition="0">
        <references count="1">
          <reference field="4294967294" count="1" selected="0">
            <x v="0"/>
          </reference>
        </references>
      </pivotArea>
    </format>
    <format dxfId="941">
      <pivotArea field="18" dataOnly="0" labelOnly="1" grandCol="1" outline="0" axis="axisCol" fieldPosition="0">
        <references count="1">
          <reference field="4294967294" count="1" selected="0">
            <x v="1"/>
          </reference>
        </references>
      </pivotArea>
    </format>
    <format dxfId="940">
      <pivotArea field="18" dataOnly="0" labelOnly="1" grandCol="1" outline="0" axis="axisCol" fieldPosition="0">
        <references count="1">
          <reference field="4294967294" count="1" selected="0">
            <x v="0"/>
          </reference>
        </references>
      </pivotArea>
    </format>
    <format dxfId="939">
      <pivotArea field="18" dataOnly="0" labelOnly="1" grandCol="1" outline="0" axis="axisCol" fieldPosition="0">
        <references count="1">
          <reference field="4294967294" count="1" selected="0">
            <x v="1"/>
          </reference>
        </references>
      </pivotArea>
    </format>
    <format dxfId="938">
      <pivotArea dataOnly="0" labelOnly="1" outline="0" fieldPosition="0">
        <references count="2">
          <reference field="4294967294" count="2">
            <x v="0"/>
            <x v="1"/>
          </reference>
          <reference field="18" count="1" selected="0">
            <x v="0"/>
          </reference>
        </references>
      </pivotArea>
    </format>
    <format dxfId="937">
      <pivotArea dataOnly="0" labelOnly="1" outline="0" fieldPosition="0">
        <references count="2">
          <reference field="4294967294" count="2">
            <x v="0"/>
            <x v="1"/>
          </reference>
          <reference field="18" count="1" selected="0">
            <x v="1"/>
          </reference>
        </references>
      </pivotArea>
    </format>
    <format dxfId="936">
      <pivotArea type="all" dataOnly="0" outline="0" fieldPosition="0"/>
    </format>
    <format dxfId="935">
      <pivotArea outline="0" collapsedLevelsAreSubtotals="1" fieldPosition="0"/>
    </format>
    <format dxfId="934">
      <pivotArea type="origin" dataOnly="0" labelOnly="1" outline="0" fieldPosition="0"/>
    </format>
    <format dxfId="933">
      <pivotArea field="18" type="button" dataOnly="0" labelOnly="1" outline="0" axis="axisCol" fieldPosition="0"/>
    </format>
    <format dxfId="932">
      <pivotArea field="-2" type="button" dataOnly="0" labelOnly="1" outline="0" axis="axisCol" fieldPosition="1"/>
    </format>
    <format dxfId="931">
      <pivotArea type="topRight" dataOnly="0" labelOnly="1" outline="0" fieldPosition="0"/>
    </format>
    <format dxfId="930">
      <pivotArea field="4" type="button" dataOnly="0" labelOnly="1" outline="0" axis="axisRow" fieldPosition="0"/>
    </format>
    <format dxfId="929">
      <pivotArea dataOnly="0" labelOnly="1" grandRow="1" outline="0" fieldPosition="0"/>
    </format>
    <format dxfId="928">
      <pivotArea dataOnly="0" labelOnly="1" fieldPosition="0">
        <references count="1">
          <reference field="18" count="0"/>
        </references>
      </pivotArea>
    </format>
    <format dxfId="927">
      <pivotArea field="18" dataOnly="0" labelOnly="1" grandCol="1" outline="0" axis="axisCol" fieldPosition="0">
        <references count="1">
          <reference field="4294967294" count="1" selected="0">
            <x v="0"/>
          </reference>
        </references>
      </pivotArea>
    </format>
    <format dxfId="926">
      <pivotArea field="18" dataOnly="0" labelOnly="1" grandCol="1" outline="0" axis="axisCol" fieldPosition="0">
        <references count="1">
          <reference field="4294967294" count="1" selected="0">
            <x v="1"/>
          </reference>
        </references>
      </pivotArea>
    </format>
    <format dxfId="925">
      <pivotArea field="18" dataOnly="0" labelOnly="1" grandCol="1" outline="0" axis="axisCol" fieldPosition="0">
        <references count="1">
          <reference field="4294967294" count="1" selected="0">
            <x v="0"/>
          </reference>
        </references>
      </pivotArea>
    </format>
    <format dxfId="924">
      <pivotArea field="18" dataOnly="0" labelOnly="1" grandCol="1" outline="0" axis="axisCol" fieldPosition="0">
        <references count="1">
          <reference field="4294967294" count="1" selected="0">
            <x v="1"/>
          </reference>
        </references>
      </pivotArea>
    </format>
    <format dxfId="923">
      <pivotArea dataOnly="0" labelOnly="1" outline="0" fieldPosition="0">
        <references count="2">
          <reference field="4294967294" count="2">
            <x v="0"/>
            <x v="1"/>
          </reference>
          <reference field="18" count="1" selected="0">
            <x v="0"/>
          </reference>
        </references>
      </pivotArea>
    </format>
    <format dxfId="922">
      <pivotArea dataOnly="0" labelOnly="1" outline="0" fieldPosition="0">
        <references count="2">
          <reference field="4294967294" count="2">
            <x v="0"/>
            <x v="1"/>
          </reference>
          <reference field="18" count="1" selected="0">
            <x v="1"/>
          </reference>
        </references>
      </pivotArea>
    </format>
    <format dxfId="921">
      <pivotArea type="all" dataOnly="0" outline="0" fieldPosition="0"/>
    </format>
    <format dxfId="920">
      <pivotArea outline="0" collapsedLevelsAreSubtotals="1" fieldPosition="0"/>
    </format>
    <format dxfId="919">
      <pivotArea type="origin" dataOnly="0" labelOnly="1" outline="0" fieldPosition="0"/>
    </format>
    <format dxfId="918">
      <pivotArea field="18" type="button" dataOnly="0" labelOnly="1" outline="0" axis="axisCol" fieldPosition="0"/>
    </format>
    <format dxfId="917">
      <pivotArea field="-2" type="button" dataOnly="0" labelOnly="1" outline="0" axis="axisCol" fieldPosition="1"/>
    </format>
    <format dxfId="916">
      <pivotArea type="topRight" dataOnly="0" labelOnly="1" outline="0" fieldPosition="0"/>
    </format>
    <format dxfId="915">
      <pivotArea field="4" type="button" dataOnly="0" labelOnly="1" outline="0" axis="axisRow" fieldPosition="0"/>
    </format>
    <format dxfId="914">
      <pivotArea dataOnly="0" labelOnly="1" grandRow="1" outline="0" fieldPosition="0"/>
    </format>
    <format dxfId="913">
      <pivotArea dataOnly="0" labelOnly="1" fieldPosition="0">
        <references count="1">
          <reference field="18" count="0"/>
        </references>
      </pivotArea>
    </format>
    <format dxfId="912">
      <pivotArea field="18" dataOnly="0" labelOnly="1" grandCol="1" outline="0" axis="axisCol" fieldPosition="0">
        <references count="1">
          <reference field="4294967294" count="1" selected="0">
            <x v="0"/>
          </reference>
        </references>
      </pivotArea>
    </format>
    <format dxfId="911">
      <pivotArea field="18" dataOnly="0" labelOnly="1" grandCol="1" outline="0" axis="axisCol" fieldPosition="0">
        <references count="1">
          <reference field="4294967294" count="1" selected="0">
            <x v="1"/>
          </reference>
        </references>
      </pivotArea>
    </format>
    <format dxfId="910">
      <pivotArea field="18" dataOnly="0" labelOnly="1" grandCol="1" outline="0" axis="axisCol" fieldPosition="0">
        <references count="1">
          <reference field="4294967294" count="1" selected="0">
            <x v="0"/>
          </reference>
        </references>
      </pivotArea>
    </format>
    <format dxfId="909">
      <pivotArea field="18" dataOnly="0" labelOnly="1" grandCol="1" outline="0" axis="axisCol" fieldPosition="0">
        <references count="1">
          <reference field="4294967294" count="1" selected="0">
            <x v="1"/>
          </reference>
        </references>
      </pivotArea>
    </format>
    <format dxfId="908">
      <pivotArea dataOnly="0" labelOnly="1" outline="0" fieldPosition="0">
        <references count="2">
          <reference field="4294967294" count="2">
            <x v="0"/>
            <x v="1"/>
          </reference>
          <reference field="18" count="1" selected="0">
            <x v="0"/>
          </reference>
        </references>
      </pivotArea>
    </format>
    <format dxfId="907">
      <pivotArea dataOnly="0" labelOnly="1" outline="0" fieldPosition="0">
        <references count="2">
          <reference field="4294967294" count="2">
            <x v="0"/>
            <x v="1"/>
          </reference>
          <reference field="18" count="1" selected="0">
            <x v="1"/>
          </reference>
        </references>
      </pivotArea>
    </format>
    <format dxfId="906">
      <pivotArea outline="0" collapsedLevelsAreSubtotals="1" fieldPosition="0"/>
    </format>
    <format dxfId="905">
      <pivotArea type="all" dataOnly="0" outline="0" fieldPosition="0"/>
    </format>
    <format dxfId="904">
      <pivotArea outline="0" collapsedLevelsAreSubtotals="1" fieldPosition="0"/>
    </format>
    <format dxfId="903">
      <pivotArea type="origin" dataOnly="0" labelOnly="1" outline="0" fieldPosition="0"/>
    </format>
    <format dxfId="902">
      <pivotArea field="18" type="button" dataOnly="0" labelOnly="1" outline="0" axis="axisCol" fieldPosition="0"/>
    </format>
    <format dxfId="901">
      <pivotArea field="-2" type="button" dataOnly="0" labelOnly="1" outline="0" axis="axisCol" fieldPosition="1"/>
    </format>
    <format dxfId="900">
      <pivotArea type="topRight" dataOnly="0" labelOnly="1" outline="0" fieldPosition="0"/>
    </format>
    <format dxfId="899">
      <pivotArea field="4" type="button" dataOnly="0" labelOnly="1" outline="0" axis="axisRow" fieldPosition="0"/>
    </format>
    <format dxfId="898">
      <pivotArea dataOnly="0" labelOnly="1" fieldPosition="0">
        <references count="1">
          <reference field="4" count="0"/>
        </references>
      </pivotArea>
    </format>
    <format dxfId="897">
      <pivotArea dataOnly="0" labelOnly="1" grandRow="1" outline="0" fieldPosition="0"/>
    </format>
    <format dxfId="896">
      <pivotArea dataOnly="0" labelOnly="1" fieldPosition="0">
        <references count="1">
          <reference field="18" count="0"/>
        </references>
      </pivotArea>
    </format>
    <format dxfId="895">
      <pivotArea field="18" dataOnly="0" labelOnly="1" grandCol="1" outline="0" axis="axisCol" fieldPosition="0">
        <references count="1">
          <reference field="4294967294" count="1" selected="0">
            <x v="0"/>
          </reference>
        </references>
      </pivotArea>
    </format>
    <format dxfId="894">
      <pivotArea field="18" dataOnly="0" labelOnly="1" grandCol="1" outline="0" axis="axisCol" fieldPosition="0">
        <references count="1">
          <reference field="4294967294" count="1" selected="0">
            <x v="1"/>
          </reference>
        </references>
      </pivotArea>
    </format>
    <format dxfId="893">
      <pivotArea field="18" dataOnly="0" labelOnly="1" grandCol="1" outline="0" axis="axisCol" fieldPosition="0">
        <references count="1">
          <reference field="4294967294" count="1" selected="0">
            <x v="0"/>
          </reference>
        </references>
      </pivotArea>
    </format>
    <format dxfId="892">
      <pivotArea field="18" dataOnly="0" labelOnly="1" grandCol="1" outline="0" axis="axisCol" fieldPosition="0">
        <references count="1">
          <reference field="4294967294" count="1" selected="0">
            <x v="1"/>
          </reference>
        </references>
      </pivotArea>
    </format>
    <format dxfId="891">
      <pivotArea dataOnly="0" labelOnly="1" outline="0" fieldPosition="0">
        <references count="2">
          <reference field="4294967294" count="2">
            <x v="0"/>
            <x v="1"/>
          </reference>
          <reference field="18" count="1" selected="0">
            <x v="0"/>
          </reference>
        </references>
      </pivotArea>
    </format>
    <format dxfId="890">
      <pivotArea dataOnly="0" labelOnly="1" outline="0" fieldPosition="0">
        <references count="2">
          <reference field="4294967294" count="2">
            <x v="0"/>
            <x v="1"/>
          </reference>
          <reference field="18" count="1" selected="0">
            <x v="1"/>
          </reference>
        </references>
      </pivotArea>
    </format>
    <format dxfId="889">
      <pivotArea type="all" dataOnly="0" outline="0" fieldPosition="0"/>
    </format>
    <format dxfId="888">
      <pivotArea outline="0" collapsedLevelsAreSubtotals="1" fieldPosition="0"/>
    </format>
    <format dxfId="887">
      <pivotArea type="origin" dataOnly="0" labelOnly="1" outline="0" fieldPosition="0"/>
    </format>
    <format dxfId="886">
      <pivotArea field="18" type="button" dataOnly="0" labelOnly="1" outline="0" axis="axisCol" fieldPosition="0"/>
    </format>
    <format dxfId="885">
      <pivotArea field="-2" type="button" dataOnly="0" labelOnly="1" outline="0" axis="axisCol" fieldPosition="1"/>
    </format>
    <format dxfId="884">
      <pivotArea type="topRight" dataOnly="0" labelOnly="1" outline="0" fieldPosition="0"/>
    </format>
    <format dxfId="883">
      <pivotArea field="4" type="button" dataOnly="0" labelOnly="1" outline="0" axis="axisRow" fieldPosition="0"/>
    </format>
    <format dxfId="882">
      <pivotArea dataOnly="0" labelOnly="1" fieldPosition="0">
        <references count="1">
          <reference field="4" count="0"/>
        </references>
      </pivotArea>
    </format>
    <format dxfId="881">
      <pivotArea dataOnly="0" labelOnly="1" grandRow="1" outline="0" fieldPosition="0"/>
    </format>
    <format dxfId="880">
      <pivotArea dataOnly="0" labelOnly="1" fieldPosition="0">
        <references count="1">
          <reference field="18" count="0"/>
        </references>
      </pivotArea>
    </format>
    <format dxfId="879">
      <pivotArea field="18" dataOnly="0" labelOnly="1" grandCol="1" outline="0" axis="axisCol" fieldPosition="0">
        <references count="1">
          <reference field="4294967294" count="1" selected="0">
            <x v="0"/>
          </reference>
        </references>
      </pivotArea>
    </format>
    <format dxfId="878">
      <pivotArea field="18" dataOnly="0" labelOnly="1" grandCol="1" outline="0" axis="axisCol" fieldPosition="0">
        <references count="1">
          <reference field="4294967294" count="1" selected="0">
            <x v="1"/>
          </reference>
        </references>
      </pivotArea>
    </format>
    <format dxfId="877">
      <pivotArea field="18" dataOnly="0" labelOnly="1" grandCol="1" outline="0" axis="axisCol" fieldPosition="0">
        <references count="1">
          <reference field="4294967294" count="1" selected="0">
            <x v="0"/>
          </reference>
        </references>
      </pivotArea>
    </format>
    <format dxfId="876">
      <pivotArea field="18" dataOnly="0" labelOnly="1" grandCol="1" outline="0" axis="axisCol" fieldPosition="0">
        <references count="1">
          <reference field="4294967294" count="1" selected="0">
            <x v="1"/>
          </reference>
        </references>
      </pivotArea>
    </format>
    <format dxfId="875">
      <pivotArea dataOnly="0" labelOnly="1" outline="0" fieldPosition="0">
        <references count="2">
          <reference field="4294967294" count="2">
            <x v="0"/>
            <x v="1"/>
          </reference>
          <reference field="18" count="1" selected="0">
            <x v="0"/>
          </reference>
        </references>
      </pivotArea>
    </format>
    <format dxfId="874">
      <pivotArea dataOnly="0" labelOnly="1" outline="0" fieldPosition="0">
        <references count="2">
          <reference field="4294967294" count="2">
            <x v="0"/>
            <x v="1"/>
          </reference>
          <reference field="18" count="1" selected="0">
            <x v="1"/>
          </reference>
        </references>
      </pivotArea>
    </format>
    <format dxfId="873">
      <pivotArea field="4" type="button" dataOnly="0" labelOnly="1" outline="0" axis="axisRow" fieldPosition="0"/>
    </format>
    <format dxfId="872">
      <pivotArea field="18" dataOnly="0" labelOnly="1" grandCol="1" outline="0" axis="axisCol" fieldPosition="0">
        <references count="1">
          <reference field="4294967294" count="1" selected="0">
            <x v="0"/>
          </reference>
        </references>
      </pivotArea>
    </format>
    <format dxfId="871">
      <pivotArea field="18" dataOnly="0" labelOnly="1" grandCol="1" outline="0" axis="axisCol" fieldPosition="0">
        <references count="1">
          <reference field="4294967294" count="1" selected="0">
            <x v="1"/>
          </reference>
        </references>
      </pivotArea>
    </format>
    <format dxfId="870">
      <pivotArea field="18" dataOnly="0" labelOnly="1" grandCol="1" outline="0" axis="axisCol" fieldPosition="0">
        <references count="1">
          <reference field="4294967294" count="1" selected="0">
            <x v="0"/>
          </reference>
        </references>
      </pivotArea>
    </format>
    <format dxfId="869">
      <pivotArea field="18" dataOnly="0" labelOnly="1" grandCol="1" outline="0" axis="axisCol" fieldPosition="0">
        <references count="1">
          <reference field="4294967294" count="1" selected="0">
            <x v="1"/>
          </reference>
        </references>
      </pivotArea>
    </format>
    <format dxfId="868">
      <pivotArea dataOnly="0" labelOnly="1" outline="0" fieldPosition="0">
        <references count="2">
          <reference field="4294967294" count="2">
            <x v="0"/>
            <x v="1"/>
          </reference>
          <reference field="18" count="1" selected="0">
            <x v="0"/>
          </reference>
        </references>
      </pivotArea>
    </format>
    <format dxfId="867">
      <pivotArea dataOnly="0" labelOnly="1" outline="0" fieldPosition="0">
        <references count="2">
          <reference field="4294967294" count="2">
            <x v="0"/>
            <x v="1"/>
          </reference>
          <reference field="18" count="1" selected="0">
            <x v="1"/>
          </reference>
        </references>
      </pivotArea>
    </format>
    <format dxfId="866">
      <pivotArea dataOnly="0" labelOnly="1" outline="0" fieldPosition="0">
        <references count="2">
          <reference field="4294967294" count="2">
            <x v="0"/>
            <x v="1"/>
          </reference>
          <reference field="18" count="1" selected="0">
            <x v="2"/>
          </reference>
        </references>
      </pivotArea>
    </format>
    <format dxfId="865">
      <pivotArea dataOnly="0" labelOnly="1" outline="0" fieldPosition="0">
        <references count="2">
          <reference field="4294967294" count="2">
            <x v="0"/>
            <x v="1"/>
          </reference>
          <reference field="18" count="1" selected="0">
            <x v="3"/>
          </reference>
        </references>
      </pivotArea>
    </format>
    <format dxfId="864">
      <pivotArea field="4" type="button" dataOnly="0" labelOnly="1" outline="0" axis="axisRow" fieldPosition="0"/>
    </format>
    <format dxfId="863">
      <pivotArea field="18" dataOnly="0" labelOnly="1" grandCol="1" outline="0" axis="axisCol" fieldPosition="0">
        <references count="1">
          <reference field="4294967294" count="1" selected="0">
            <x v="0"/>
          </reference>
        </references>
      </pivotArea>
    </format>
    <format dxfId="862">
      <pivotArea field="18" dataOnly="0" labelOnly="1" grandCol="1" outline="0" axis="axisCol" fieldPosition="0">
        <references count="1">
          <reference field="4294967294" count="1" selected="0">
            <x v="1"/>
          </reference>
        </references>
      </pivotArea>
    </format>
    <format dxfId="861">
      <pivotArea field="18" dataOnly="0" labelOnly="1" grandCol="1" outline="0" axis="axisCol" fieldPosition="0">
        <references count="1">
          <reference field="4294967294" count="1" selected="0">
            <x v="0"/>
          </reference>
        </references>
      </pivotArea>
    </format>
    <format dxfId="860">
      <pivotArea field="18" dataOnly="0" labelOnly="1" grandCol="1" outline="0" axis="axisCol" fieldPosition="0">
        <references count="1">
          <reference field="4294967294" count="1" selected="0">
            <x v="1"/>
          </reference>
        </references>
      </pivotArea>
    </format>
    <format dxfId="859">
      <pivotArea dataOnly="0" labelOnly="1" outline="0" fieldPosition="0">
        <references count="2">
          <reference field="4294967294" count="2">
            <x v="0"/>
            <x v="1"/>
          </reference>
          <reference field="18" count="1" selected="0">
            <x v="0"/>
          </reference>
        </references>
      </pivotArea>
    </format>
    <format dxfId="858">
      <pivotArea dataOnly="0" labelOnly="1" outline="0" fieldPosition="0">
        <references count="2">
          <reference field="4294967294" count="2">
            <x v="0"/>
            <x v="1"/>
          </reference>
          <reference field="18" count="1" selected="0">
            <x v="1"/>
          </reference>
        </references>
      </pivotArea>
    </format>
    <format dxfId="857">
      <pivotArea dataOnly="0" labelOnly="1" outline="0" fieldPosition="0">
        <references count="2">
          <reference field="4294967294" count="2">
            <x v="0"/>
            <x v="1"/>
          </reference>
          <reference field="18" count="1" selected="0">
            <x v="2"/>
          </reference>
        </references>
      </pivotArea>
    </format>
    <format dxfId="856">
      <pivotArea dataOnly="0" labelOnly="1" outline="0" fieldPosition="0">
        <references count="2">
          <reference field="4294967294" count="2">
            <x v="0"/>
            <x v="1"/>
          </reference>
          <reference field="18" count="1" selected="0">
            <x v="3"/>
          </reference>
        </references>
      </pivotArea>
    </format>
    <format dxfId="855">
      <pivotArea field="4" type="button" dataOnly="0" labelOnly="1" outline="0" axis="axisRow" fieldPosition="0"/>
    </format>
    <format dxfId="854">
      <pivotArea field="18" dataOnly="0" labelOnly="1" grandCol="1" outline="0" axis="axisCol" fieldPosition="0">
        <references count="1">
          <reference field="4294967294" count="1" selected="0">
            <x v="0"/>
          </reference>
        </references>
      </pivotArea>
    </format>
    <format dxfId="853">
      <pivotArea field="18" dataOnly="0" labelOnly="1" grandCol="1" outline="0" axis="axisCol" fieldPosition="0">
        <references count="1">
          <reference field="4294967294" count="1" selected="0">
            <x v="1"/>
          </reference>
        </references>
      </pivotArea>
    </format>
    <format dxfId="852">
      <pivotArea field="18" dataOnly="0" labelOnly="1" grandCol="1" outline="0" axis="axisCol" fieldPosition="0">
        <references count="1">
          <reference field="4294967294" count="1" selected="0">
            <x v="0"/>
          </reference>
        </references>
      </pivotArea>
    </format>
    <format dxfId="851">
      <pivotArea field="18" dataOnly="0" labelOnly="1" grandCol="1" outline="0" axis="axisCol" fieldPosition="0">
        <references count="1">
          <reference field="4294967294" count="1" selected="0">
            <x v="1"/>
          </reference>
        </references>
      </pivotArea>
    </format>
    <format dxfId="850">
      <pivotArea dataOnly="0" labelOnly="1" outline="0" fieldPosition="0">
        <references count="2">
          <reference field="4294967294" count="2">
            <x v="0"/>
            <x v="1"/>
          </reference>
          <reference field="18" count="1" selected="0">
            <x v="0"/>
          </reference>
        </references>
      </pivotArea>
    </format>
    <format dxfId="849">
      <pivotArea dataOnly="0" labelOnly="1" outline="0" fieldPosition="0">
        <references count="2">
          <reference field="4294967294" count="2">
            <x v="0"/>
            <x v="1"/>
          </reference>
          <reference field="18" count="1" selected="0">
            <x v="1"/>
          </reference>
        </references>
      </pivotArea>
    </format>
    <format dxfId="848">
      <pivotArea dataOnly="0" labelOnly="1" outline="0" fieldPosition="0">
        <references count="2">
          <reference field="4294967294" count="2">
            <x v="0"/>
            <x v="1"/>
          </reference>
          <reference field="18" count="1" selected="0">
            <x v="2"/>
          </reference>
        </references>
      </pivotArea>
    </format>
    <format dxfId="847">
      <pivotArea dataOnly="0" labelOnly="1" outline="0" fieldPosition="0">
        <references count="2">
          <reference field="4294967294" count="2">
            <x v="0"/>
            <x v="1"/>
          </reference>
          <reference field="18" count="1" selected="0">
            <x v="3"/>
          </reference>
        </references>
      </pivotArea>
    </format>
    <format dxfId="846">
      <pivotArea dataOnly="0" labelOnly="1" outline="0" fieldPosition="0">
        <references count="2">
          <reference field="4294967294" count="1">
            <x v="1"/>
          </reference>
          <reference field="18" count="1" selected="0">
            <x v="3"/>
          </reference>
        </references>
      </pivotArea>
    </format>
    <format dxfId="845">
      <pivotArea field="4" type="button" dataOnly="0" labelOnly="1" outline="0" axis="axisRow" fieldPosition="0"/>
    </format>
    <format dxfId="844">
      <pivotArea field="18" dataOnly="0" labelOnly="1" grandCol="1" outline="0" axis="axisCol" fieldPosition="0">
        <references count="1">
          <reference field="4294967294" count="1" selected="0">
            <x v="0"/>
          </reference>
        </references>
      </pivotArea>
    </format>
    <format dxfId="843">
      <pivotArea field="18" dataOnly="0" labelOnly="1" grandCol="1" outline="0" axis="axisCol" fieldPosition="0">
        <references count="1">
          <reference field="4294967294" count="1" selected="0">
            <x v="1"/>
          </reference>
        </references>
      </pivotArea>
    </format>
    <format dxfId="842">
      <pivotArea field="18" dataOnly="0" labelOnly="1" grandCol="1" outline="0" axis="axisCol" fieldPosition="0">
        <references count="1">
          <reference field="4294967294" count="1" selected="0">
            <x v="0"/>
          </reference>
        </references>
      </pivotArea>
    </format>
    <format dxfId="841">
      <pivotArea field="18" dataOnly="0" labelOnly="1" grandCol="1" outline="0" axis="axisCol" fieldPosition="0">
        <references count="1">
          <reference field="4294967294" count="1" selected="0">
            <x v="1"/>
          </reference>
        </references>
      </pivotArea>
    </format>
    <format dxfId="840">
      <pivotArea dataOnly="0" labelOnly="1" outline="0" fieldPosition="0">
        <references count="2">
          <reference field="4294967294" count="2">
            <x v="0"/>
            <x v="1"/>
          </reference>
          <reference field="18" count="1" selected="0">
            <x v="0"/>
          </reference>
        </references>
      </pivotArea>
    </format>
    <format dxfId="839">
      <pivotArea dataOnly="0" labelOnly="1" outline="0" fieldPosition="0">
        <references count="2">
          <reference field="4294967294" count="2">
            <x v="0"/>
            <x v="1"/>
          </reference>
          <reference field="18" count="1" selected="0">
            <x v="1"/>
          </reference>
        </references>
      </pivotArea>
    </format>
    <format dxfId="838">
      <pivotArea dataOnly="0" labelOnly="1" outline="0" fieldPosition="0">
        <references count="2">
          <reference field="4294967294" count="2">
            <x v="0"/>
            <x v="1"/>
          </reference>
          <reference field="18" count="1" selected="0">
            <x v="2"/>
          </reference>
        </references>
      </pivotArea>
    </format>
    <format dxfId="837">
      <pivotArea dataOnly="0" labelOnly="1" outline="0" fieldPosition="0">
        <references count="2">
          <reference field="4294967294" count="2">
            <x v="0"/>
            <x v="1"/>
          </reference>
          <reference field="18" count="1" selected="0">
            <x v="3"/>
          </reference>
        </references>
      </pivotArea>
    </format>
    <format dxfId="836">
      <pivotArea field="4" type="button" dataOnly="0" labelOnly="1" outline="0" axis="axisRow" fieldPosition="0"/>
    </format>
    <format dxfId="835">
      <pivotArea field="18" dataOnly="0" labelOnly="1" grandCol="1" outline="0" axis="axisCol" fieldPosition="0">
        <references count="1">
          <reference field="4294967294" count="1" selected="0">
            <x v="0"/>
          </reference>
        </references>
      </pivotArea>
    </format>
    <format dxfId="834">
      <pivotArea field="18" dataOnly="0" labelOnly="1" grandCol="1" outline="0" axis="axisCol" fieldPosition="0">
        <references count="1">
          <reference field="4294967294" count="1" selected="0">
            <x v="1"/>
          </reference>
        </references>
      </pivotArea>
    </format>
    <format dxfId="833">
      <pivotArea field="18" dataOnly="0" labelOnly="1" grandCol="1" outline="0" axis="axisCol" fieldPosition="0">
        <references count="1">
          <reference field="4294967294" count="1" selected="0">
            <x v="0"/>
          </reference>
        </references>
      </pivotArea>
    </format>
    <format dxfId="832">
      <pivotArea field="18" dataOnly="0" labelOnly="1" grandCol="1" outline="0" axis="axisCol" fieldPosition="0">
        <references count="1">
          <reference field="4294967294" count="1" selected="0">
            <x v="1"/>
          </reference>
        </references>
      </pivotArea>
    </format>
    <format dxfId="831">
      <pivotArea dataOnly="0" labelOnly="1" outline="0" fieldPosition="0">
        <references count="2">
          <reference field="4294967294" count="2">
            <x v="0"/>
            <x v="1"/>
          </reference>
          <reference field="18" count="1" selected="0">
            <x v="0"/>
          </reference>
        </references>
      </pivotArea>
    </format>
    <format dxfId="830">
      <pivotArea dataOnly="0" labelOnly="1" outline="0" fieldPosition="0">
        <references count="2">
          <reference field="4294967294" count="2">
            <x v="0"/>
            <x v="1"/>
          </reference>
          <reference field="18" count="1" selected="0">
            <x v="1"/>
          </reference>
        </references>
      </pivotArea>
    </format>
    <format dxfId="829">
      <pivotArea dataOnly="0" labelOnly="1" outline="0" fieldPosition="0">
        <references count="2">
          <reference field="4294967294" count="2">
            <x v="0"/>
            <x v="1"/>
          </reference>
          <reference field="18" count="1" selected="0">
            <x v="2"/>
          </reference>
        </references>
      </pivotArea>
    </format>
    <format dxfId="828">
      <pivotArea dataOnly="0" labelOnly="1" outline="0" fieldPosition="0">
        <references count="2">
          <reference field="4294967294" count="2">
            <x v="0"/>
            <x v="1"/>
          </reference>
          <reference field="18" count="1" selected="0">
            <x v="3"/>
          </reference>
        </references>
      </pivotArea>
    </format>
    <format dxfId="827">
      <pivotArea dataOnly="0" labelOnly="1" outline="0" fieldPosition="0">
        <references count="2">
          <reference field="4294967294" count="1">
            <x v="1"/>
          </reference>
          <reference field="18" count="1" selected="0">
            <x v="0"/>
          </reference>
        </references>
      </pivotArea>
    </format>
    <format dxfId="826">
      <pivotArea dataOnly="0" labelOnly="1" outline="0" fieldPosition="0">
        <references count="2">
          <reference field="4294967294" count="1">
            <x v="1"/>
          </reference>
          <reference field="18" count="1" selected="0">
            <x v="1"/>
          </reference>
        </references>
      </pivotArea>
    </format>
    <format dxfId="825">
      <pivotArea dataOnly="0" labelOnly="1" outline="0" fieldPosition="0">
        <references count="2">
          <reference field="4294967294" count="1">
            <x v="1"/>
          </reference>
          <reference field="18" count="1" selected="0">
            <x v="2"/>
          </reference>
        </references>
      </pivotArea>
    </format>
    <format dxfId="824">
      <pivotArea field="18" dataOnly="0" labelOnly="1" grandCol="1" outline="0" axis="axisCol" fieldPosition="0">
        <references count="1">
          <reference field="4294967294" count="1" selected="0">
            <x v="0"/>
          </reference>
        </references>
      </pivotArea>
    </format>
    <format dxfId="823">
      <pivotArea field="18" dataOnly="0" labelOnly="1" grandCol="1" outline="0" axis="axisCol" fieldPosition="0">
        <references count="1">
          <reference field="4294967294" count="1" selected="0">
            <x v="1"/>
          </reference>
        </references>
      </pivotArea>
    </format>
    <format dxfId="822">
      <pivotArea field="18" dataOnly="0" labelOnly="1" grandCol="1" outline="0" axis="axisCol" fieldPosition="0">
        <references count="1">
          <reference field="4294967294" count="1" selected="0">
            <x v="0"/>
          </reference>
        </references>
      </pivotArea>
    </format>
    <format dxfId="821">
      <pivotArea field="18" dataOnly="0" labelOnly="1" grandCol="1" outline="0" axis="axisCol" fieldPosition="0">
        <references count="1">
          <reference field="4294967294" count="1" selected="0">
            <x v="1"/>
          </reference>
        </references>
      </pivotArea>
    </format>
    <format dxfId="820">
      <pivotArea field="18" dataOnly="0" labelOnly="1" grandCol="1" outline="0" axis="axisCol" fieldPosition="0">
        <references count="1">
          <reference field="4294967294" count="1" selected="0">
            <x v="0"/>
          </reference>
        </references>
      </pivotArea>
    </format>
    <format dxfId="819">
      <pivotArea field="18" dataOnly="0" labelOnly="1" grandCol="1" outline="0" axis="axisCol" fieldPosition="0">
        <references count="1">
          <reference field="4294967294" count="1" selected="0">
            <x v="1"/>
          </reference>
        </references>
      </pivotArea>
    </format>
    <format dxfId="818">
      <pivotArea field="18" dataOnly="0" labelOnly="1" grandCol="1" outline="0" axis="axisCol" fieldPosition="0">
        <references count="1">
          <reference field="4294967294" count="1" selected="0">
            <x v="0"/>
          </reference>
        </references>
      </pivotArea>
    </format>
    <format dxfId="817">
      <pivotArea field="18" dataOnly="0" labelOnly="1" grandCol="1" outline="0" axis="axisCol" fieldPosition="0">
        <references count="1">
          <reference field="4294967294" count="1" selected="0">
            <x v="1"/>
          </reference>
        </references>
      </pivotArea>
    </format>
    <format dxfId="816">
      <pivotArea dataOnly="0" labelOnly="1" outline="0" fieldPosition="0">
        <references count="2">
          <reference field="4294967294" count="1">
            <x v="1"/>
          </reference>
          <reference field="18" count="1" selected="0">
            <x v="3"/>
          </reference>
        </references>
      </pivotArea>
    </format>
    <format dxfId="815">
      <pivotArea dataOnly="0" labelOnly="1" outline="0" fieldPosition="0">
        <references count="2">
          <reference field="4294967294" count="1">
            <x v="1"/>
          </reference>
          <reference field="18" count="1" selected="0">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4"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66:O82" firstHeaderRow="1" firstDataRow="3" firstDataCol="1" rowPageCount="1" colPageCount="1"/>
  <pivotFields count="53">
    <pivotField dataField="1" numFmtId="1" showAll="0"/>
    <pivotField showAll="0" defaultSubtotal="0"/>
    <pivotField showAll="0"/>
    <pivotField numFmtId="14" showAll="0"/>
    <pivotField axis="axisRow" showAll="0" sortType="ascending">
      <items count="14">
        <item x="0"/>
        <item x="1"/>
        <item x="2"/>
        <item x="3"/>
        <item x="4"/>
        <item x="5"/>
        <item x="6"/>
        <item x="7"/>
        <item x="8"/>
        <item x="9"/>
        <item x="10"/>
        <item x="11"/>
        <item x="12"/>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h="1" x="1"/>
        <item x="2"/>
        <item h="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4"/>
  </rowFields>
  <rowItems count="14">
    <i>
      <x/>
    </i>
    <i>
      <x v="1"/>
    </i>
    <i>
      <x v="2"/>
    </i>
    <i>
      <x v="3"/>
    </i>
    <i>
      <x v="4"/>
    </i>
    <i>
      <x v="5"/>
    </i>
    <i>
      <x v="6"/>
    </i>
    <i>
      <x v="7"/>
    </i>
    <i>
      <x v="8"/>
    </i>
    <i>
      <x v="9"/>
    </i>
    <i>
      <x v="10"/>
    </i>
    <i>
      <x v="11"/>
    </i>
    <i>
      <x v="12"/>
    </i>
    <i t="grand">
      <x/>
    </i>
  </rowItems>
  <colFields count="2">
    <field x="18"/>
    <field x="-2"/>
  </colFields>
  <colItems count="14">
    <i>
      <x/>
      <x/>
    </i>
    <i r="1" i="1">
      <x v="1"/>
    </i>
    <i>
      <x v="1"/>
      <x/>
    </i>
    <i r="1" i="1">
      <x v="1"/>
    </i>
    <i>
      <x v="2"/>
      <x/>
    </i>
    <i r="1" i="1">
      <x v="1"/>
    </i>
    <i>
      <x v="4"/>
      <x/>
    </i>
    <i r="1" i="1">
      <x v="1"/>
    </i>
    <i>
      <x v="5"/>
      <x/>
    </i>
    <i r="1" i="1">
      <x v="1"/>
    </i>
    <i>
      <x v="6"/>
      <x/>
    </i>
    <i r="1" i="1">
      <x v="1"/>
    </i>
    <i t="grand">
      <x/>
    </i>
    <i t="grand" i="1">
      <x/>
    </i>
  </colItems>
  <pageFields count="1">
    <pageField fld="25" hier="-1"/>
  </pageFields>
  <dataFields count="2">
    <dataField name="Cuenta de Ítem" fld="0" subtotal="count" baseField="4" baseItem="0"/>
    <dataField name="Suma de Valor     Presupuestado " fld="9" baseField="4" baseItem="2"/>
  </dataFields>
  <formats count="169">
    <format dxfId="1269">
      <pivotArea type="all" dataOnly="0" outline="0" fieldPosition="0"/>
    </format>
    <format dxfId="1268">
      <pivotArea outline="0" collapsedLevelsAreSubtotals="1" fieldPosition="0"/>
    </format>
    <format dxfId="1267">
      <pivotArea type="origin" dataOnly="0" labelOnly="1" outline="0" fieldPosition="0"/>
    </format>
    <format dxfId="1266">
      <pivotArea field="18" type="button" dataOnly="0" labelOnly="1" outline="0" axis="axisCol" fieldPosition="0"/>
    </format>
    <format dxfId="1265">
      <pivotArea type="topRight" dataOnly="0" labelOnly="1" outline="0" fieldPosition="0"/>
    </format>
    <format dxfId="1264">
      <pivotArea field="4" type="button" dataOnly="0" labelOnly="1" outline="0" axis="axisRow" fieldPosition="0"/>
    </format>
    <format dxfId="1263">
      <pivotArea dataOnly="0" labelOnly="1" fieldPosition="0">
        <references count="1">
          <reference field="4" count="0"/>
        </references>
      </pivotArea>
    </format>
    <format dxfId="1262">
      <pivotArea dataOnly="0" labelOnly="1" grandRow="1" outline="0" fieldPosition="0"/>
    </format>
    <format dxfId="1261">
      <pivotArea dataOnly="0" labelOnly="1" fieldPosition="0">
        <references count="1">
          <reference field="18" count="0"/>
        </references>
      </pivotArea>
    </format>
    <format dxfId="1260">
      <pivotArea dataOnly="0" labelOnly="1" grandCol="1" outline="0" fieldPosition="0"/>
    </format>
    <format dxfId="1259">
      <pivotArea field="4" type="button" dataOnly="0" labelOnly="1" outline="0" axis="axisRow" fieldPosition="0"/>
    </format>
    <format dxfId="1258">
      <pivotArea dataOnly="0" labelOnly="1" fieldPosition="0">
        <references count="1">
          <reference field="18" count="0"/>
        </references>
      </pivotArea>
    </format>
    <format dxfId="1257">
      <pivotArea dataOnly="0" labelOnly="1" grandCol="1" outline="0" fieldPosition="0"/>
    </format>
    <format dxfId="1256">
      <pivotArea field="4" type="button" dataOnly="0" labelOnly="1" outline="0" axis="axisRow" fieldPosition="0"/>
    </format>
    <format dxfId="1255">
      <pivotArea dataOnly="0" labelOnly="1" fieldPosition="0">
        <references count="1">
          <reference field="18" count="0"/>
        </references>
      </pivotArea>
    </format>
    <format dxfId="1254">
      <pivotArea dataOnly="0" labelOnly="1" grandCol="1" outline="0" fieldPosition="0"/>
    </format>
    <format dxfId="1253">
      <pivotArea type="origin" dataOnly="0" labelOnly="1" outline="0" fieldPosition="0"/>
    </format>
    <format dxfId="1252">
      <pivotArea field="18" type="button" dataOnly="0" labelOnly="1" outline="0" axis="axisCol" fieldPosition="0"/>
    </format>
    <format dxfId="1251">
      <pivotArea type="topRight" dataOnly="0" labelOnly="1" outline="0" fieldPosition="0"/>
    </format>
    <format dxfId="1250">
      <pivotArea outline="0" collapsedLevelsAreSubtotals="1" fieldPosition="0"/>
    </format>
    <format dxfId="1249">
      <pivotArea dataOnly="0" labelOnly="1" outline="0" fieldPosition="0">
        <references count="1">
          <reference field="25" count="0"/>
        </references>
      </pivotArea>
    </format>
    <format dxfId="1248">
      <pivotArea field="18" type="button" dataOnly="0" labelOnly="1" outline="0" axis="axisCol" fieldPosition="0"/>
    </format>
    <format dxfId="1247">
      <pivotArea field="-2" type="button" dataOnly="0" labelOnly="1" outline="0" axis="axisCol" fieldPosition="1"/>
    </format>
    <format dxfId="1246">
      <pivotArea type="topRight" dataOnly="0" labelOnly="1" outline="0" fieldPosition="0"/>
    </format>
    <format dxfId="1245">
      <pivotArea dataOnly="0" labelOnly="1" fieldPosition="0">
        <references count="1">
          <reference field="18" count="0"/>
        </references>
      </pivotArea>
    </format>
    <format dxfId="1244">
      <pivotArea field="18" dataOnly="0" labelOnly="1" grandCol="1" outline="0" axis="axisCol" fieldPosition="0">
        <references count="1">
          <reference field="4294967294" count="1" selected="0">
            <x v="0"/>
          </reference>
        </references>
      </pivotArea>
    </format>
    <format dxfId="1243">
      <pivotArea field="18" dataOnly="0" labelOnly="1" grandCol="1" outline="0" axis="axisCol" fieldPosition="0">
        <references count="1">
          <reference field="4294967294" count="1" selected="0">
            <x v="0"/>
          </reference>
        </references>
      </pivotArea>
    </format>
    <format dxfId="1242">
      <pivotArea dataOnly="0" labelOnly="1" outline="0" fieldPosition="0">
        <references count="2">
          <reference field="4294967294" count="1">
            <x v="0"/>
          </reference>
          <reference field="18" count="1" selected="0">
            <x v="0"/>
          </reference>
        </references>
      </pivotArea>
    </format>
    <format dxfId="1241">
      <pivotArea dataOnly="0" labelOnly="1" outline="0" fieldPosition="0">
        <references count="2">
          <reference field="4294967294" count="1">
            <x v="0"/>
          </reference>
          <reference field="18" count="1" selected="0">
            <x v="1"/>
          </reference>
        </references>
      </pivotArea>
    </format>
    <format dxfId="1240">
      <pivotArea field="4" type="button" dataOnly="0" labelOnly="1" outline="0" axis="axisRow" fieldPosition="0"/>
    </format>
    <format dxfId="1239">
      <pivotArea field="18" dataOnly="0" labelOnly="1" grandCol="1" outline="0" axis="axisCol" fieldPosition="0">
        <references count="1">
          <reference field="4294967294" count="1" selected="0">
            <x v="0"/>
          </reference>
        </references>
      </pivotArea>
    </format>
    <format dxfId="1238">
      <pivotArea field="18" dataOnly="0" labelOnly="1" grandCol="1" outline="0" axis="axisCol" fieldPosition="0">
        <references count="1">
          <reference field="4294967294" count="1" selected="0">
            <x v="0"/>
          </reference>
        </references>
      </pivotArea>
    </format>
    <format dxfId="1237">
      <pivotArea dataOnly="0" labelOnly="1" outline="0" fieldPosition="0">
        <references count="2">
          <reference field="4294967294" count="1">
            <x v="0"/>
          </reference>
          <reference field="18" count="1" selected="0">
            <x v="0"/>
          </reference>
        </references>
      </pivotArea>
    </format>
    <format dxfId="1236">
      <pivotArea dataOnly="0" labelOnly="1" outline="0" fieldPosition="0">
        <references count="2">
          <reference field="4294967294" count="1">
            <x v="0"/>
          </reference>
          <reference field="18" count="1" selected="0">
            <x v="1"/>
          </reference>
        </references>
      </pivotArea>
    </format>
    <format dxfId="1235">
      <pivotArea field="4" type="button" dataOnly="0" labelOnly="1" outline="0" axis="axisRow" fieldPosition="0"/>
    </format>
    <format dxfId="1234">
      <pivotArea field="18" dataOnly="0" labelOnly="1" grandCol="1" outline="0" axis="axisCol" fieldPosition="0">
        <references count="1">
          <reference field="4294967294" count="1" selected="0">
            <x v="0"/>
          </reference>
        </references>
      </pivotArea>
    </format>
    <format dxfId="1233">
      <pivotArea field="18" dataOnly="0" labelOnly="1" grandCol="1" outline="0" axis="axisCol" fieldPosition="0">
        <references count="1">
          <reference field="4294967294" count="1" selected="0">
            <x v="0"/>
          </reference>
        </references>
      </pivotArea>
    </format>
    <format dxfId="1232">
      <pivotArea dataOnly="0" labelOnly="1" outline="0" fieldPosition="0">
        <references count="2">
          <reference field="4294967294" count="1">
            <x v="0"/>
          </reference>
          <reference field="18" count="1" selected="0">
            <x v="0"/>
          </reference>
        </references>
      </pivotArea>
    </format>
    <format dxfId="1231">
      <pivotArea dataOnly="0" labelOnly="1" outline="0" fieldPosition="0">
        <references count="2">
          <reference field="4294967294" count="1">
            <x v="0"/>
          </reference>
          <reference field="18" count="1" selected="0">
            <x v="1"/>
          </reference>
        </references>
      </pivotArea>
    </format>
    <format dxfId="1230">
      <pivotArea field="4" type="button" dataOnly="0" labelOnly="1" outline="0" axis="axisRow" fieldPosition="0"/>
    </format>
    <format dxfId="1229">
      <pivotArea field="18" dataOnly="0" labelOnly="1" grandCol="1" outline="0" axis="axisCol" fieldPosition="0">
        <references count="1">
          <reference field="4294967294" count="1" selected="0">
            <x v="0"/>
          </reference>
        </references>
      </pivotArea>
    </format>
    <format dxfId="1228">
      <pivotArea field="18" dataOnly="0" labelOnly="1" grandCol="1" outline="0" axis="axisCol" fieldPosition="0">
        <references count="1">
          <reference field="4294967294" count="1" selected="0">
            <x v="0"/>
          </reference>
        </references>
      </pivotArea>
    </format>
    <format dxfId="1227">
      <pivotArea dataOnly="0" labelOnly="1" outline="0" fieldPosition="0">
        <references count="2">
          <reference field="4294967294" count="1">
            <x v="0"/>
          </reference>
          <reference field="18" count="1" selected="0">
            <x v="0"/>
          </reference>
        </references>
      </pivotArea>
    </format>
    <format dxfId="1226">
      <pivotArea dataOnly="0" labelOnly="1" outline="0" fieldPosition="0">
        <references count="2">
          <reference field="4294967294" count="1">
            <x v="0"/>
          </reference>
          <reference field="18" count="1" selected="0">
            <x v="1"/>
          </reference>
        </references>
      </pivotArea>
    </format>
    <format dxfId="1225">
      <pivotArea field="4" type="button" dataOnly="0" labelOnly="1" outline="0" axis="axisRow" fieldPosition="0"/>
    </format>
    <format dxfId="1224">
      <pivotArea field="18" dataOnly="0" labelOnly="1" grandCol="1" outline="0" axis="axisCol" fieldPosition="0">
        <references count="1">
          <reference field="4294967294" count="1" selected="0">
            <x v="0"/>
          </reference>
        </references>
      </pivotArea>
    </format>
    <format dxfId="1223">
      <pivotArea field="18" dataOnly="0" labelOnly="1" grandCol="1" outline="0" axis="axisCol" fieldPosition="0">
        <references count="1">
          <reference field="4294967294" count="1" selected="0">
            <x v="0"/>
          </reference>
        </references>
      </pivotArea>
    </format>
    <format dxfId="1222">
      <pivotArea dataOnly="0" labelOnly="1" outline="0" fieldPosition="0">
        <references count="2">
          <reference field="4294967294" count="1">
            <x v="0"/>
          </reference>
          <reference field="18" count="1" selected="0">
            <x v="0"/>
          </reference>
        </references>
      </pivotArea>
    </format>
    <format dxfId="1221">
      <pivotArea dataOnly="0" labelOnly="1" outline="0" fieldPosition="0">
        <references count="2">
          <reference field="4294967294" count="1">
            <x v="0"/>
          </reference>
          <reference field="18" count="1" selected="0">
            <x v="1"/>
          </reference>
        </references>
      </pivotArea>
    </format>
    <format dxfId="1220">
      <pivotArea type="all" dataOnly="0" outline="0" fieldPosition="0"/>
    </format>
    <format dxfId="1219">
      <pivotArea outline="0" collapsedLevelsAreSubtotals="1" fieldPosition="0"/>
    </format>
    <format dxfId="1218">
      <pivotArea type="origin" dataOnly="0" labelOnly="1" outline="0" fieldPosition="0"/>
    </format>
    <format dxfId="1217">
      <pivotArea field="18" type="button" dataOnly="0" labelOnly="1" outline="0" axis="axisCol" fieldPosition="0"/>
    </format>
    <format dxfId="1216">
      <pivotArea field="-2" type="button" dataOnly="0" labelOnly="1" outline="0" axis="axisCol" fieldPosition="1"/>
    </format>
    <format dxfId="1215">
      <pivotArea type="topRight" dataOnly="0" labelOnly="1" outline="0" fieldPosition="0"/>
    </format>
    <format dxfId="1214">
      <pivotArea field="4" type="button" dataOnly="0" labelOnly="1" outline="0" axis="axisRow" fieldPosition="0"/>
    </format>
    <format dxfId="1213">
      <pivotArea dataOnly="0" labelOnly="1" fieldPosition="0">
        <references count="1">
          <reference field="4" count="0"/>
        </references>
      </pivotArea>
    </format>
    <format dxfId="1212">
      <pivotArea dataOnly="0" labelOnly="1" grandRow="1" outline="0" fieldPosition="0"/>
    </format>
    <format dxfId="1211">
      <pivotArea dataOnly="0" labelOnly="1" fieldPosition="0">
        <references count="1">
          <reference field="18" count="0"/>
        </references>
      </pivotArea>
    </format>
    <format dxfId="1210">
      <pivotArea field="18" dataOnly="0" labelOnly="1" grandCol="1" outline="0" axis="axisCol" fieldPosition="0">
        <references count="1">
          <reference field="4294967294" count="1" selected="0">
            <x v="0"/>
          </reference>
        </references>
      </pivotArea>
    </format>
    <format dxfId="1209">
      <pivotArea field="18" dataOnly="0" labelOnly="1" grandCol="1" outline="0" axis="axisCol" fieldPosition="0">
        <references count="1">
          <reference field="4294967294" count="1" selected="0">
            <x v="0"/>
          </reference>
        </references>
      </pivotArea>
    </format>
    <format dxfId="1208">
      <pivotArea dataOnly="0" labelOnly="1" outline="0" fieldPosition="0">
        <references count="2">
          <reference field="4294967294" count="1">
            <x v="0"/>
          </reference>
          <reference field="18" count="1" selected="0">
            <x v="0"/>
          </reference>
        </references>
      </pivotArea>
    </format>
    <format dxfId="1207">
      <pivotArea dataOnly="0" labelOnly="1" outline="0" fieldPosition="0">
        <references count="2">
          <reference field="4294967294" count="1">
            <x v="0"/>
          </reference>
          <reference field="18" count="1" selected="0">
            <x v="1"/>
          </reference>
        </references>
      </pivotArea>
    </format>
    <format dxfId="1206">
      <pivotArea type="all" dataOnly="0" outline="0" fieldPosition="0"/>
    </format>
    <format dxfId="1205">
      <pivotArea outline="0" collapsedLevelsAreSubtotals="1" fieldPosition="0"/>
    </format>
    <format dxfId="1204">
      <pivotArea type="origin" dataOnly="0" labelOnly="1" outline="0" fieldPosition="0"/>
    </format>
    <format dxfId="1203">
      <pivotArea field="18" type="button" dataOnly="0" labelOnly="1" outline="0" axis="axisCol" fieldPosition="0"/>
    </format>
    <format dxfId="1202">
      <pivotArea field="-2" type="button" dataOnly="0" labelOnly="1" outline="0" axis="axisCol" fieldPosition="1"/>
    </format>
    <format dxfId="1201">
      <pivotArea type="topRight" dataOnly="0" labelOnly="1" outline="0" fieldPosition="0"/>
    </format>
    <format dxfId="1200">
      <pivotArea field="4" type="button" dataOnly="0" labelOnly="1" outline="0" axis="axisRow" fieldPosition="0"/>
    </format>
    <format dxfId="1199">
      <pivotArea dataOnly="0" labelOnly="1" grandRow="1" outline="0" fieldPosition="0"/>
    </format>
    <format dxfId="1198">
      <pivotArea dataOnly="0" labelOnly="1" fieldPosition="0">
        <references count="1">
          <reference field="18" count="0"/>
        </references>
      </pivotArea>
    </format>
    <format dxfId="1197">
      <pivotArea field="18" dataOnly="0" labelOnly="1" grandCol="1" outline="0" axis="axisCol" fieldPosition="0">
        <references count="1">
          <reference field="4294967294" count="1" selected="0">
            <x v="0"/>
          </reference>
        </references>
      </pivotArea>
    </format>
    <format dxfId="1196">
      <pivotArea field="18" dataOnly="0" labelOnly="1" grandCol="1" outline="0" axis="axisCol" fieldPosition="0">
        <references count="1">
          <reference field="4294967294" count="1" selected="0">
            <x v="0"/>
          </reference>
        </references>
      </pivotArea>
    </format>
    <format dxfId="1195">
      <pivotArea dataOnly="0" labelOnly="1" outline="0" fieldPosition="0">
        <references count="2">
          <reference field="4294967294" count="1">
            <x v="0"/>
          </reference>
          <reference field="18" count="1" selected="0">
            <x v="0"/>
          </reference>
        </references>
      </pivotArea>
    </format>
    <format dxfId="1194">
      <pivotArea dataOnly="0" labelOnly="1" outline="0" fieldPosition="0">
        <references count="2">
          <reference field="4294967294" count="1">
            <x v="0"/>
          </reference>
          <reference field="18" count="1" selected="0">
            <x v="1"/>
          </reference>
        </references>
      </pivotArea>
    </format>
    <format dxfId="1193">
      <pivotArea field="4" type="button" dataOnly="0" labelOnly="1" outline="0" axis="axisRow" fieldPosition="0"/>
    </format>
    <format dxfId="1192">
      <pivotArea field="18" dataOnly="0" labelOnly="1" grandCol="1" outline="0" axis="axisCol" fieldPosition="0">
        <references count="1">
          <reference field="4294967294" count="1" selected="0">
            <x v="0"/>
          </reference>
        </references>
      </pivotArea>
    </format>
    <format dxfId="1191">
      <pivotArea field="18" dataOnly="0" labelOnly="1" grandCol="1" outline="0" axis="axisCol" fieldPosition="0">
        <references count="1">
          <reference field="4294967294" count="1" selected="0">
            <x v="1"/>
          </reference>
        </references>
      </pivotArea>
    </format>
    <format dxfId="1190">
      <pivotArea field="18" dataOnly="0" labelOnly="1" grandCol="1" outline="0" axis="axisCol" fieldPosition="0">
        <references count="1">
          <reference field="4294967294" count="1" selected="0">
            <x v="0"/>
          </reference>
        </references>
      </pivotArea>
    </format>
    <format dxfId="1189">
      <pivotArea field="18" dataOnly="0" labelOnly="1" grandCol="1" outline="0" axis="axisCol" fieldPosition="0">
        <references count="1">
          <reference field="4294967294" count="1" selected="0">
            <x v="1"/>
          </reference>
        </references>
      </pivotArea>
    </format>
    <format dxfId="1188">
      <pivotArea dataOnly="0" labelOnly="1" outline="0" fieldPosition="0">
        <references count="2">
          <reference field="4294967294" count="2">
            <x v="0"/>
            <x v="1"/>
          </reference>
          <reference field="18" count="1" selected="0">
            <x v="0"/>
          </reference>
        </references>
      </pivotArea>
    </format>
    <format dxfId="1187">
      <pivotArea dataOnly="0" labelOnly="1" outline="0" fieldPosition="0">
        <references count="2">
          <reference field="4294967294" count="2">
            <x v="0"/>
            <x v="1"/>
          </reference>
          <reference field="18" count="1" selected="0">
            <x v="1"/>
          </reference>
        </references>
      </pivotArea>
    </format>
    <format dxfId="1186">
      <pivotArea field="4" type="button" dataOnly="0" labelOnly="1" outline="0" axis="axisRow" fieldPosition="0"/>
    </format>
    <format dxfId="1185">
      <pivotArea field="18" dataOnly="0" labelOnly="1" grandCol="1" outline="0" axis="axisCol" fieldPosition="0">
        <references count="1">
          <reference field="4294967294" count="1" selected="0">
            <x v="0"/>
          </reference>
        </references>
      </pivotArea>
    </format>
    <format dxfId="1184">
      <pivotArea field="18" dataOnly="0" labelOnly="1" grandCol="1" outline="0" axis="axisCol" fieldPosition="0">
        <references count="1">
          <reference field="4294967294" count="1" selected="0">
            <x v="1"/>
          </reference>
        </references>
      </pivotArea>
    </format>
    <format dxfId="1183">
      <pivotArea field="18" dataOnly="0" labelOnly="1" grandCol="1" outline="0" axis="axisCol" fieldPosition="0">
        <references count="1">
          <reference field="4294967294" count="1" selected="0">
            <x v="0"/>
          </reference>
        </references>
      </pivotArea>
    </format>
    <format dxfId="1182">
      <pivotArea field="18" dataOnly="0" labelOnly="1" grandCol="1" outline="0" axis="axisCol" fieldPosition="0">
        <references count="1">
          <reference field="4294967294" count="1" selected="0">
            <x v="1"/>
          </reference>
        </references>
      </pivotArea>
    </format>
    <format dxfId="1181">
      <pivotArea dataOnly="0" labelOnly="1" outline="0" fieldPosition="0">
        <references count="2">
          <reference field="4294967294" count="2">
            <x v="0"/>
            <x v="1"/>
          </reference>
          <reference field="18" count="1" selected="0">
            <x v="0"/>
          </reference>
        </references>
      </pivotArea>
    </format>
    <format dxfId="1180">
      <pivotArea dataOnly="0" labelOnly="1" outline="0" fieldPosition="0">
        <references count="2">
          <reference field="4294967294" count="2">
            <x v="0"/>
            <x v="1"/>
          </reference>
          <reference field="18" count="1" selected="0">
            <x v="1"/>
          </reference>
        </references>
      </pivotArea>
    </format>
    <format dxfId="1179">
      <pivotArea field="4" type="button" dataOnly="0" labelOnly="1" outline="0" axis="axisRow" fieldPosition="0"/>
    </format>
    <format dxfId="1178">
      <pivotArea field="18" dataOnly="0" labelOnly="1" grandCol="1" outline="0" axis="axisCol" fieldPosition="0">
        <references count="1">
          <reference field="4294967294" count="1" selected="0">
            <x v="0"/>
          </reference>
        </references>
      </pivotArea>
    </format>
    <format dxfId="1177">
      <pivotArea field="18" dataOnly="0" labelOnly="1" grandCol="1" outline="0" axis="axisCol" fieldPosition="0">
        <references count="1">
          <reference field="4294967294" count="1" selected="0">
            <x v="1"/>
          </reference>
        </references>
      </pivotArea>
    </format>
    <format dxfId="1176">
      <pivotArea field="18" dataOnly="0" labelOnly="1" grandCol="1" outline="0" axis="axisCol" fieldPosition="0">
        <references count="1">
          <reference field="4294967294" count="1" selected="0">
            <x v="0"/>
          </reference>
        </references>
      </pivotArea>
    </format>
    <format dxfId="1175">
      <pivotArea field="18" dataOnly="0" labelOnly="1" grandCol="1" outline="0" axis="axisCol" fieldPosition="0">
        <references count="1">
          <reference field="4294967294" count="1" selected="0">
            <x v="1"/>
          </reference>
        </references>
      </pivotArea>
    </format>
    <format dxfId="1174">
      <pivotArea dataOnly="0" labelOnly="1" outline="0" fieldPosition="0">
        <references count="2">
          <reference field="4294967294" count="2">
            <x v="0"/>
            <x v="1"/>
          </reference>
          <reference field="18" count="1" selected="0">
            <x v="0"/>
          </reference>
        </references>
      </pivotArea>
    </format>
    <format dxfId="1173">
      <pivotArea dataOnly="0" labelOnly="1" outline="0" fieldPosition="0">
        <references count="2">
          <reference field="4294967294" count="2">
            <x v="0"/>
            <x v="1"/>
          </reference>
          <reference field="18" count="1" selected="0">
            <x v="1"/>
          </reference>
        </references>
      </pivotArea>
    </format>
    <format dxfId="1172">
      <pivotArea field="4" type="button" dataOnly="0" labelOnly="1" outline="0" axis="axisRow" fieldPosition="0"/>
    </format>
    <format dxfId="1171">
      <pivotArea field="18" dataOnly="0" labelOnly="1" grandCol="1" outline="0" axis="axisCol" fieldPosition="0">
        <references count="1">
          <reference field="4294967294" count="1" selected="0">
            <x v="0"/>
          </reference>
        </references>
      </pivotArea>
    </format>
    <format dxfId="1170">
      <pivotArea field="18" dataOnly="0" labelOnly="1" grandCol="1" outline="0" axis="axisCol" fieldPosition="0">
        <references count="1">
          <reference field="4294967294" count="1" selected="0">
            <x v="1"/>
          </reference>
        </references>
      </pivotArea>
    </format>
    <format dxfId="1169">
      <pivotArea field="18" dataOnly="0" labelOnly="1" grandCol="1" outline="0" axis="axisCol" fieldPosition="0">
        <references count="1">
          <reference field="4294967294" count="1" selected="0">
            <x v="0"/>
          </reference>
        </references>
      </pivotArea>
    </format>
    <format dxfId="1168">
      <pivotArea field="18" dataOnly="0" labelOnly="1" grandCol="1" outline="0" axis="axisCol" fieldPosition="0">
        <references count="1">
          <reference field="4294967294" count="1" selected="0">
            <x v="1"/>
          </reference>
        </references>
      </pivotArea>
    </format>
    <format dxfId="1167">
      <pivotArea dataOnly="0" labelOnly="1" outline="0" fieldPosition="0">
        <references count="2">
          <reference field="4294967294" count="2">
            <x v="0"/>
            <x v="1"/>
          </reference>
          <reference field="18" count="1" selected="0">
            <x v="0"/>
          </reference>
        </references>
      </pivotArea>
    </format>
    <format dxfId="1166">
      <pivotArea dataOnly="0" labelOnly="1" outline="0" fieldPosition="0">
        <references count="2">
          <reference field="4294967294" count="2">
            <x v="0"/>
            <x v="1"/>
          </reference>
          <reference field="18" count="1" selected="0">
            <x v="1"/>
          </reference>
        </references>
      </pivotArea>
    </format>
    <format dxfId="1165">
      <pivotArea type="all" dataOnly="0" outline="0" fieldPosition="0"/>
    </format>
    <format dxfId="1164">
      <pivotArea outline="0" collapsedLevelsAreSubtotals="1" fieldPosition="0"/>
    </format>
    <format dxfId="1163">
      <pivotArea type="origin" dataOnly="0" labelOnly="1" outline="0" fieldPosition="0"/>
    </format>
    <format dxfId="1162">
      <pivotArea field="18" type="button" dataOnly="0" labelOnly="1" outline="0" axis="axisCol" fieldPosition="0"/>
    </format>
    <format dxfId="1161">
      <pivotArea field="-2" type="button" dataOnly="0" labelOnly="1" outline="0" axis="axisCol" fieldPosition="1"/>
    </format>
    <format dxfId="1160">
      <pivotArea field="4" type="button" dataOnly="0" labelOnly="1" outline="0" axis="axisRow" fieldPosition="0"/>
    </format>
    <format dxfId="1159">
      <pivotArea dataOnly="0" labelOnly="1" grandRow="1" outline="0" fieldPosition="0"/>
    </format>
    <format dxfId="1158">
      <pivotArea field="18" dataOnly="0" labelOnly="1" grandCol="1" outline="0" axis="axisCol" fieldPosition="0">
        <references count="1">
          <reference field="4294967294" count="1" selected="0">
            <x v="0"/>
          </reference>
        </references>
      </pivotArea>
    </format>
    <format dxfId="1157">
      <pivotArea field="18" dataOnly="0" labelOnly="1" grandCol="1" outline="0" axis="axisCol" fieldPosition="0">
        <references count="1">
          <reference field="4294967294" count="1" selected="0">
            <x v="1"/>
          </reference>
        </references>
      </pivotArea>
    </format>
    <format dxfId="1156">
      <pivotArea field="18" dataOnly="0" labelOnly="1" grandCol="1" outline="0" axis="axisCol" fieldPosition="0">
        <references count="1">
          <reference field="4294967294" count="1" selected="0">
            <x v="0"/>
          </reference>
        </references>
      </pivotArea>
    </format>
    <format dxfId="1155">
      <pivotArea field="18" dataOnly="0" labelOnly="1" grandCol="1" outline="0" axis="axisCol" fieldPosition="0">
        <references count="1">
          <reference field="4294967294" count="1" selected="0">
            <x v="1"/>
          </reference>
        </references>
      </pivotArea>
    </format>
    <format dxfId="1154">
      <pivotArea type="all" dataOnly="0" outline="0" fieldPosition="0"/>
    </format>
    <format dxfId="1153">
      <pivotArea outline="0" collapsedLevelsAreSubtotals="1" fieldPosition="0"/>
    </format>
    <format dxfId="1152">
      <pivotArea type="origin" dataOnly="0" labelOnly="1" outline="0" fieldPosition="0"/>
    </format>
    <format dxfId="1151">
      <pivotArea field="18" type="button" dataOnly="0" labelOnly="1" outline="0" axis="axisCol" fieldPosition="0"/>
    </format>
    <format dxfId="1150">
      <pivotArea field="-2" type="button" dataOnly="0" labelOnly="1" outline="0" axis="axisCol" fieldPosition="1"/>
    </format>
    <format dxfId="1149">
      <pivotArea field="4" type="button" dataOnly="0" labelOnly="1" outline="0" axis="axisRow" fieldPosition="0"/>
    </format>
    <format dxfId="1148">
      <pivotArea dataOnly="0" labelOnly="1" grandRow="1" outline="0" fieldPosition="0"/>
    </format>
    <format dxfId="1147">
      <pivotArea field="18" dataOnly="0" labelOnly="1" grandCol="1" outline="0" axis="axisCol" fieldPosition="0">
        <references count="1">
          <reference field="4294967294" count="1" selected="0">
            <x v="0"/>
          </reference>
        </references>
      </pivotArea>
    </format>
    <format dxfId="1146">
      <pivotArea field="18" dataOnly="0" labelOnly="1" grandCol="1" outline="0" axis="axisCol" fieldPosition="0">
        <references count="1">
          <reference field="4294967294" count="1" selected="0">
            <x v="1"/>
          </reference>
        </references>
      </pivotArea>
    </format>
    <format dxfId="1145">
      <pivotArea field="18" dataOnly="0" labelOnly="1" grandCol="1" outline="0" axis="axisCol" fieldPosition="0">
        <references count="1">
          <reference field="4294967294" count="1" selected="0">
            <x v="0"/>
          </reference>
        </references>
      </pivotArea>
    </format>
    <format dxfId="1144">
      <pivotArea field="18" dataOnly="0" labelOnly="1" grandCol="1" outline="0" axis="axisCol" fieldPosition="0">
        <references count="1">
          <reference field="4294967294" count="1" selected="0">
            <x v="1"/>
          </reference>
        </references>
      </pivotArea>
    </format>
    <format dxfId="1143">
      <pivotArea type="all" dataOnly="0" outline="0" fieldPosition="0"/>
    </format>
    <format dxfId="1142">
      <pivotArea outline="0" collapsedLevelsAreSubtotals="1" fieldPosition="0"/>
    </format>
    <format dxfId="1141">
      <pivotArea type="origin" dataOnly="0" labelOnly="1" outline="0" fieldPosition="0"/>
    </format>
    <format dxfId="1140">
      <pivotArea field="18" type="button" dataOnly="0" labelOnly="1" outline="0" axis="axisCol" fieldPosition="0"/>
    </format>
    <format dxfId="1139">
      <pivotArea field="-2" type="button" dataOnly="0" labelOnly="1" outline="0" axis="axisCol" fieldPosition="1"/>
    </format>
    <format dxfId="1138">
      <pivotArea field="4" type="button" dataOnly="0" labelOnly="1" outline="0" axis="axisRow" fieldPosition="0"/>
    </format>
    <format dxfId="1137">
      <pivotArea dataOnly="0" labelOnly="1" grandRow="1" outline="0" fieldPosition="0"/>
    </format>
    <format dxfId="1136">
      <pivotArea field="18" dataOnly="0" labelOnly="1" grandCol="1" outline="0" axis="axisCol" fieldPosition="0">
        <references count="1">
          <reference field="4294967294" count="1" selected="0">
            <x v="0"/>
          </reference>
        </references>
      </pivotArea>
    </format>
    <format dxfId="1135">
      <pivotArea field="18" dataOnly="0" labelOnly="1" grandCol="1" outline="0" axis="axisCol" fieldPosition="0">
        <references count="1">
          <reference field="4294967294" count="1" selected="0">
            <x v="1"/>
          </reference>
        </references>
      </pivotArea>
    </format>
    <format dxfId="1134">
      <pivotArea field="18" dataOnly="0" labelOnly="1" grandCol="1" outline="0" axis="axisCol" fieldPosition="0">
        <references count="1">
          <reference field="4294967294" count="1" selected="0">
            <x v="0"/>
          </reference>
        </references>
      </pivotArea>
    </format>
    <format dxfId="1133">
      <pivotArea field="18" dataOnly="0" labelOnly="1" grandCol="1" outline="0" axis="axisCol" fieldPosition="0">
        <references count="1">
          <reference field="4294967294" count="1" selected="0">
            <x v="1"/>
          </reference>
        </references>
      </pivotArea>
    </format>
    <format dxfId="1132">
      <pivotArea type="all" dataOnly="0" outline="0" fieldPosition="0"/>
    </format>
    <format dxfId="1131">
      <pivotArea outline="0" collapsedLevelsAreSubtotals="1" fieldPosition="0"/>
    </format>
    <format dxfId="1130">
      <pivotArea type="origin" dataOnly="0" labelOnly="1" outline="0" fieldPosition="0"/>
    </format>
    <format dxfId="1129">
      <pivotArea field="18" type="button" dataOnly="0" labelOnly="1" outline="0" axis="axisCol" fieldPosition="0"/>
    </format>
    <format dxfId="1128">
      <pivotArea field="-2" type="button" dataOnly="0" labelOnly="1" outline="0" axis="axisCol" fieldPosition="1"/>
    </format>
    <format dxfId="1127">
      <pivotArea type="topRight" dataOnly="0" labelOnly="1" outline="0" fieldPosition="0"/>
    </format>
    <format dxfId="1126">
      <pivotArea field="4" type="button" dataOnly="0" labelOnly="1" outline="0" axis="axisRow" fieldPosition="0"/>
    </format>
    <format dxfId="1125">
      <pivotArea dataOnly="0" labelOnly="1" fieldPosition="0">
        <references count="1">
          <reference field="4" count="1">
            <x v="0"/>
          </reference>
        </references>
      </pivotArea>
    </format>
    <format dxfId="1124">
      <pivotArea dataOnly="0" labelOnly="1" grandRow="1" outline="0" fieldPosition="0"/>
    </format>
    <format dxfId="1123">
      <pivotArea dataOnly="0" labelOnly="1" fieldPosition="0">
        <references count="1">
          <reference field="18" count="0"/>
        </references>
      </pivotArea>
    </format>
    <format dxfId="1122">
      <pivotArea field="18" dataOnly="0" labelOnly="1" grandCol="1" outline="0" axis="axisCol" fieldPosition="0">
        <references count="1">
          <reference field="4294967294" count="1" selected="0">
            <x v="0"/>
          </reference>
        </references>
      </pivotArea>
    </format>
    <format dxfId="1121">
      <pivotArea field="18" dataOnly="0" labelOnly="1" grandCol="1" outline="0" axis="axisCol" fieldPosition="0">
        <references count="1">
          <reference field="4294967294" count="1" selected="0">
            <x v="1"/>
          </reference>
        </references>
      </pivotArea>
    </format>
    <format dxfId="1120">
      <pivotArea field="18" dataOnly="0" labelOnly="1" grandCol="1" outline="0" axis="axisCol" fieldPosition="0">
        <references count="1">
          <reference field="4294967294" count="1" selected="0">
            <x v="0"/>
          </reference>
        </references>
      </pivotArea>
    </format>
    <format dxfId="1119">
      <pivotArea field="18" dataOnly="0" labelOnly="1" grandCol="1" outline="0" axis="axisCol" fieldPosition="0">
        <references count="1">
          <reference field="4294967294" count="1" selected="0">
            <x v="1"/>
          </reference>
        </references>
      </pivotArea>
    </format>
    <format dxfId="1118">
      <pivotArea dataOnly="0" labelOnly="1" outline="0" fieldPosition="0">
        <references count="2">
          <reference field="4294967294" count="2">
            <x v="0"/>
            <x v="1"/>
          </reference>
          <reference field="18" count="1" selected="0">
            <x v="0"/>
          </reference>
        </references>
      </pivotArea>
    </format>
    <format dxfId="1117">
      <pivotArea dataOnly="0" labelOnly="1" outline="0" fieldPosition="0">
        <references count="2">
          <reference field="4294967294" count="2">
            <x v="0"/>
            <x v="1"/>
          </reference>
          <reference field="18" count="1" selected="0">
            <x v="1"/>
          </reference>
        </references>
      </pivotArea>
    </format>
    <format dxfId="1116">
      <pivotArea type="all" dataOnly="0" outline="0" fieldPosition="0"/>
    </format>
    <format dxfId="1115">
      <pivotArea outline="0" collapsedLevelsAreSubtotals="1" fieldPosition="0"/>
    </format>
    <format dxfId="1114">
      <pivotArea type="origin" dataOnly="0" labelOnly="1" outline="0" fieldPosition="0"/>
    </format>
    <format dxfId="1113">
      <pivotArea field="18" type="button" dataOnly="0" labelOnly="1" outline="0" axis="axisCol" fieldPosition="0"/>
    </format>
    <format dxfId="1112">
      <pivotArea field="-2" type="button" dataOnly="0" labelOnly="1" outline="0" axis="axisCol" fieldPosition="1"/>
    </format>
    <format dxfId="1111">
      <pivotArea type="topRight" dataOnly="0" labelOnly="1" outline="0" fieldPosition="0"/>
    </format>
    <format dxfId="1110">
      <pivotArea field="4" type="button" dataOnly="0" labelOnly="1" outline="0" axis="axisRow" fieldPosition="0"/>
    </format>
    <format dxfId="1109">
      <pivotArea dataOnly="0" labelOnly="1" fieldPosition="0">
        <references count="1">
          <reference field="4" count="1">
            <x v="0"/>
          </reference>
        </references>
      </pivotArea>
    </format>
    <format dxfId="1108">
      <pivotArea dataOnly="0" labelOnly="1" grandRow="1" outline="0" fieldPosition="0"/>
    </format>
    <format dxfId="1107">
      <pivotArea dataOnly="0" labelOnly="1" fieldPosition="0">
        <references count="1">
          <reference field="18" count="0"/>
        </references>
      </pivotArea>
    </format>
    <format dxfId="1106">
      <pivotArea field="18" dataOnly="0" labelOnly="1" grandCol="1" outline="0" axis="axisCol" fieldPosition="0">
        <references count="1">
          <reference field="4294967294" count="1" selected="0">
            <x v="0"/>
          </reference>
        </references>
      </pivotArea>
    </format>
    <format dxfId="1105">
      <pivotArea field="18" dataOnly="0" labelOnly="1" grandCol="1" outline="0" axis="axisCol" fieldPosition="0">
        <references count="1">
          <reference field="4294967294" count="1" selected="0">
            <x v="1"/>
          </reference>
        </references>
      </pivotArea>
    </format>
    <format dxfId="1104">
      <pivotArea field="18" dataOnly="0" labelOnly="1" grandCol="1" outline="0" axis="axisCol" fieldPosition="0">
        <references count="1">
          <reference field="4294967294" count="1" selected="0">
            <x v="0"/>
          </reference>
        </references>
      </pivotArea>
    </format>
    <format dxfId="1103">
      <pivotArea field="18" dataOnly="0" labelOnly="1" grandCol="1" outline="0" axis="axisCol" fieldPosition="0">
        <references count="1">
          <reference field="4294967294" count="1" selected="0">
            <x v="1"/>
          </reference>
        </references>
      </pivotArea>
    </format>
    <format dxfId="1102">
      <pivotArea dataOnly="0" labelOnly="1" outline="0" fieldPosition="0">
        <references count="2">
          <reference field="4294967294" count="2">
            <x v="0"/>
            <x v="1"/>
          </reference>
          <reference field="18" count="1" selected="0">
            <x v="0"/>
          </reference>
        </references>
      </pivotArea>
    </format>
    <format dxfId="1101">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9"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28:K141" firstHeaderRow="1" firstDataRow="3" firstDataCol="1" rowPageCount="2" colPageCount="1"/>
  <pivotFields count="53">
    <pivotField dataField="1" numFmtId="1" showAll="0"/>
    <pivotField showAll="0" defaultSubtotal="0"/>
    <pivotField axis="axisRow" showAll="0" sortType="ascending">
      <items count="12">
        <item x="4"/>
        <item x="5"/>
        <item x="10"/>
        <item x="8"/>
        <item x="7"/>
        <item x="6"/>
        <item x="2"/>
        <item x="1"/>
        <item x="0"/>
        <item x="3"/>
        <item x="9"/>
        <item t="default"/>
      </items>
    </pivotField>
    <pivotField numFmtId="14" showAll="0"/>
    <pivotField showAll="0">
      <items count="14">
        <item x="0"/>
        <item x="2"/>
        <item x="3"/>
        <item x="5"/>
        <item x="6"/>
        <item x="7"/>
        <item x="1"/>
        <item x="4"/>
        <item x="8"/>
        <item x="9"/>
        <item x="10"/>
        <item x="11"/>
        <item x="12"/>
        <item t="default"/>
      </items>
    </pivotField>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Col" showAll="0">
      <items count="8">
        <item x="1"/>
        <item x="2"/>
        <item x="0"/>
        <item x="5"/>
        <item x="6"/>
        <item x="3"/>
        <item x="4"/>
        <item t="default"/>
      </items>
    </pivotField>
    <pivotField showAll="0"/>
    <pivotField showAll="0"/>
    <pivotField showAll="0"/>
    <pivotField showAll="0"/>
    <pivotField showAll="0"/>
    <pivotField showAll="0"/>
    <pivotField axis="axisPage" multipleItemSelectionAllowed="1" showAll="0">
      <items count="5">
        <item h="1" x="0"/>
        <item x="1"/>
        <item h="1" x="2"/>
        <item h="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axis="axisPage" multipleItemSelectionAllowed="1" showAll="0">
      <items count="367">
        <item x="0"/>
        <item x="2"/>
        <item x="7"/>
        <item x="13"/>
        <item x="18"/>
        <item x="21"/>
        <item x="22"/>
        <item x="24"/>
        <item x="58"/>
        <item x="44"/>
        <item x="34"/>
        <item x="8"/>
        <item x="9"/>
        <item x="10"/>
        <item x="11"/>
        <item x="12"/>
        <item x="14"/>
        <item x="15"/>
        <item x="16"/>
        <item x="17"/>
        <item x="19"/>
        <item x="20"/>
        <item x="23"/>
        <item x="25"/>
        <item x="26"/>
        <item x="27"/>
        <item x="28"/>
        <item x="29"/>
        <item x="30"/>
        <item x="31"/>
        <item x="32"/>
        <item x="33"/>
        <item x="35"/>
        <item x="36"/>
        <item x="37"/>
        <item x="38"/>
        <item x="39"/>
        <item x="40"/>
        <item x="41"/>
        <item x="42"/>
        <item x="43"/>
        <item x="45"/>
        <item x="46"/>
        <item x="47"/>
        <item x="48"/>
        <item x="49"/>
        <item x="50"/>
        <item x="51"/>
        <item x="54"/>
        <item x="55"/>
        <item x="56"/>
        <item x="57"/>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2"/>
        <item x="52"/>
        <item x="53"/>
        <item x="105"/>
        <item x="3"/>
        <item x="4"/>
        <item x="5"/>
        <item x="6"/>
        <item x="159"/>
        <item x="162"/>
        <item x="101"/>
        <item x="106"/>
        <item x="107"/>
        <item x="108"/>
        <item x="112"/>
        <item x="113"/>
        <item x="114"/>
        <item x="121"/>
        <item x="122"/>
        <item x="123"/>
        <item x="124"/>
        <item x="126"/>
        <item x="127"/>
        <item x="138"/>
        <item x="143"/>
        <item x="103"/>
        <item x="104"/>
        <item x="109"/>
        <item x="110"/>
        <item x="111"/>
        <item x="115"/>
        <item x="118"/>
        <item x="125"/>
        <item x="128"/>
        <item x="132"/>
        <item x="133"/>
        <item x="135"/>
        <item x="144"/>
        <item x="154"/>
        <item x="155"/>
        <item x="158"/>
        <item x="163"/>
        <item x="169"/>
        <item x="116"/>
        <item x="117"/>
        <item x="119"/>
        <item x="141"/>
        <item x="142"/>
        <item x="146"/>
        <item x="147"/>
        <item x="149"/>
        <item x="150"/>
        <item x="151"/>
        <item x="152"/>
        <item x="157"/>
        <item x="160"/>
        <item x="168"/>
        <item x="172"/>
        <item x="173"/>
        <item x="175"/>
        <item x="177"/>
        <item x="178"/>
        <item x="179"/>
        <item x="181"/>
        <item x="186"/>
        <item x="187"/>
        <item x="188"/>
        <item x="189"/>
        <item x="190"/>
        <item x="195"/>
        <item x="197"/>
        <item x="199"/>
        <item x="204"/>
        <item x="206"/>
        <item x="208"/>
        <item x="209"/>
        <item x="211"/>
        <item x="213"/>
        <item x="214"/>
        <item x="215"/>
        <item x="216"/>
        <item x="230"/>
        <item x="245"/>
        <item x="248"/>
        <item x="250"/>
        <item x="185"/>
        <item x="1"/>
        <item x="120"/>
        <item x="131"/>
        <item x="134"/>
        <item x="136"/>
        <item x="137"/>
        <item x="139"/>
        <item x="161"/>
        <item x="170"/>
        <item x="171"/>
        <item x="184"/>
        <item x="191"/>
        <item x="192"/>
        <item x="193"/>
        <item x="200"/>
        <item x="201"/>
        <item x="203"/>
        <item x="205"/>
        <item x="212"/>
        <item x="218"/>
        <item x="219"/>
        <item x="220"/>
        <item x="221"/>
        <item x="224"/>
        <item x="237"/>
        <item x="238"/>
        <item x="243"/>
        <item x="253"/>
        <item x="254"/>
        <item x="255"/>
        <item x="267"/>
        <item x="269"/>
        <item x="271"/>
        <item x="272"/>
        <item x="273"/>
        <item x="276"/>
        <item x="285"/>
        <item x="286"/>
        <item x="288"/>
        <item x="290"/>
        <item x="293"/>
        <item x="295"/>
        <item x="312"/>
        <item x="313"/>
        <item x="315"/>
        <item x="153"/>
        <item x="156"/>
        <item x="291"/>
        <item x="292"/>
        <item x="294"/>
        <item x="296"/>
        <item x="297"/>
        <item x="298"/>
        <item x="299"/>
        <item x="300"/>
        <item x="301"/>
        <item x="302"/>
        <item x="303"/>
        <item x="304"/>
        <item x="308"/>
        <item x="309"/>
        <item x="310"/>
        <item x="311"/>
        <item x="314"/>
        <item x="317"/>
        <item x="320"/>
        <item x="321"/>
        <item x="322"/>
        <item x="325"/>
        <item x="327"/>
        <item x="266"/>
        <item x="227"/>
        <item x="228"/>
        <item x="231"/>
        <item x="232"/>
        <item x="236"/>
        <item x="239"/>
        <item x="240"/>
        <item x="244"/>
        <item x="246"/>
        <item x="247"/>
        <item x="249"/>
        <item x="251"/>
        <item x="194"/>
        <item x="256"/>
        <item x="257"/>
        <item x="258"/>
        <item x="259"/>
        <item x="260"/>
        <item x="261"/>
        <item x="262"/>
        <item x="268"/>
        <item x="270"/>
        <item x="274"/>
        <item x="275"/>
        <item x="277"/>
        <item x="279"/>
        <item x="281"/>
        <item x="282"/>
        <item x="283"/>
        <item x="284"/>
        <item x="287"/>
        <item x="183"/>
        <item x="196"/>
        <item x="198"/>
        <item x="202"/>
        <item x="207"/>
        <item x="217"/>
        <item x="223"/>
        <item x="226"/>
        <item x="129"/>
        <item x="130"/>
        <item x="140"/>
        <item x="145"/>
        <item x="148"/>
        <item x="164"/>
        <item x="165"/>
        <item x="166"/>
        <item x="167"/>
        <item x="174"/>
        <item x="176"/>
        <item x="180"/>
        <item x="182"/>
        <item x="330"/>
        <item x="334"/>
        <item x="335"/>
        <item x="336"/>
        <item x="337"/>
        <item x="338"/>
        <item x="339"/>
        <item x="342"/>
        <item x="344"/>
        <item x="345"/>
        <item x="347"/>
        <item x="348"/>
        <item x="210"/>
        <item x="225"/>
        <item x="233"/>
        <item x="234"/>
        <item x="242"/>
        <item x="263"/>
        <item x="264"/>
        <item x="265"/>
        <item x="280"/>
        <item x="289"/>
        <item x="305"/>
        <item x="316"/>
        <item x="328"/>
        <item x="341"/>
        <item x="346"/>
        <item x="222"/>
        <item x="252"/>
        <item x="278"/>
        <item x="306"/>
        <item x="307"/>
        <item x="319"/>
        <item x="323"/>
        <item x="326"/>
        <item x="229"/>
        <item x="235"/>
        <item x="241"/>
        <item x="318"/>
        <item x="324"/>
        <item x="329"/>
        <item x="331"/>
        <item x="332"/>
        <item x="333"/>
        <item x="340"/>
        <item x="343"/>
        <item x="349"/>
        <item x="350"/>
        <item x="351"/>
        <item x="352"/>
        <item x="353"/>
        <item x="354"/>
        <item x="355"/>
        <item x="356"/>
        <item x="357"/>
        <item x="358"/>
        <item x="359"/>
        <item x="360"/>
        <item x="361"/>
        <item x="362"/>
        <item x="363"/>
        <item x="364"/>
        <item x="365"/>
        <item t="default"/>
      </items>
    </pivotField>
    <pivotField showAll="0" defaultSubtotal="0"/>
    <pivotField dataField="1"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numFmtId="1" showAll="0" defaultSubtotal="0"/>
  </pivotFields>
  <rowFields count="1">
    <field x="2"/>
  </rowFields>
  <rowItems count="11">
    <i>
      <x/>
    </i>
    <i>
      <x v="1"/>
    </i>
    <i>
      <x v="2"/>
    </i>
    <i>
      <x v="3"/>
    </i>
    <i>
      <x v="4"/>
    </i>
    <i>
      <x v="5"/>
    </i>
    <i>
      <x v="6"/>
    </i>
    <i>
      <x v="7"/>
    </i>
    <i>
      <x v="8"/>
    </i>
    <i>
      <x v="9"/>
    </i>
    <i t="grand">
      <x/>
    </i>
  </rowItems>
  <colFields count="2">
    <field x="18"/>
    <field x="-2"/>
  </colFields>
  <colItems count="10">
    <i>
      <x/>
      <x/>
    </i>
    <i r="1" i="1">
      <x v="1"/>
    </i>
    <i>
      <x v="1"/>
      <x/>
    </i>
    <i r="1" i="1">
      <x v="1"/>
    </i>
    <i>
      <x v="2"/>
      <x/>
    </i>
    <i r="1" i="1">
      <x v="1"/>
    </i>
    <i>
      <x v="3"/>
      <x/>
    </i>
    <i r="1" i="1">
      <x v="1"/>
    </i>
    <i t="grand">
      <x/>
    </i>
    <i t="grand" i="1">
      <x/>
    </i>
  </colItems>
  <pageFields count="2">
    <pageField fld="25" hier="-1"/>
    <pageField fld="35" hier="-1"/>
  </pageFields>
  <dataFields count="2">
    <dataField name="Cuenta de Ítem" fld="0" subtotal="count" baseField="2" baseItem="0"/>
    <dataField name="Suma de Valor " fld="37" baseField="2" baseItem="4"/>
  </dataFields>
  <formats count="141">
    <format dxfId="1410">
      <pivotArea type="all" dataOnly="0" outline="0" fieldPosition="0"/>
    </format>
    <format dxfId="1409">
      <pivotArea outline="0" collapsedLevelsAreSubtotals="1" fieldPosition="0"/>
    </format>
    <format dxfId="1408">
      <pivotArea type="origin" dataOnly="0" labelOnly="1" outline="0" fieldPosition="0"/>
    </format>
    <format dxfId="1407">
      <pivotArea field="18" type="button" dataOnly="0" labelOnly="1" outline="0" axis="axisCol" fieldPosition="0"/>
    </format>
    <format dxfId="1406">
      <pivotArea type="topRight" dataOnly="0" labelOnly="1" outline="0" fieldPosition="0"/>
    </format>
    <format dxfId="1405">
      <pivotArea field="4" type="button" dataOnly="0" labelOnly="1" outline="0"/>
    </format>
    <format dxfId="1404">
      <pivotArea dataOnly="0" labelOnly="1" grandRow="1" outline="0" fieldPosition="0"/>
    </format>
    <format dxfId="1403">
      <pivotArea dataOnly="0" labelOnly="1" fieldPosition="0">
        <references count="1">
          <reference field="18" count="0"/>
        </references>
      </pivotArea>
    </format>
    <format dxfId="1402">
      <pivotArea dataOnly="0" labelOnly="1" grandCol="1" outline="0" fieldPosition="0"/>
    </format>
    <format dxfId="1401">
      <pivotArea field="4" type="button" dataOnly="0" labelOnly="1" outline="0"/>
    </format>
    <format dxfId="1400">
      <pivotArea dataOnly="0" labelOnly="1" fieldPosition="0">
        <references count="1">
          <reference field="18" count="0"/>
        </references>
      </pivotArea>
    </format>
    <format dxfId="1399">
      <pivotArea dataOnly="0" labelOnly="1" grandCol="1" outline="0" fieldPosition="0"/>
    </format>
    <format dxfId="1398">
      <pivotArea field="4" type="button" dataOnly="0" labelOnly="1" outline="0"/>
    </format>
    <format dxfId="1397">
      <pivotArea dataOnly="0" labelOnly="1" fieldPosition="0">
        <references count="1">
          <reference field="18" count="0"/>
        </references>
      </pivotArea>
    </format>
    <format dxfId="1396">
      <pivotArea dataOnly="0" labelOnly="1" grandCol="1" outline="0" fieldPosition="0"/>
    </format>
    <format dxfId="1395">
      <pivotArea type="origin" dataOnly="0" labelOnly="1" outline="0" fieldPosition="0"/>
    </format>
    <format dxfId="1394">
      <pivotArea field="18" type="button" dataOnly="0" labelOnly="1" outline="0" axis="axisCol" fieldPosition="0"/>
    </format>
    <format dxfId="1393">
      <pivotArea type="topRight" dataOnly="0" labelOnly="1" outline="0" fieldPosition="0"/>
    </format>
    <format dxfId="1392">
      <pivotArea outline="0" collapsedLevelsAreSubtotals="1" fieldPosition="0"/>
    </format>
    <format dxfId="1391">
      <pivotArea dataOnly="0" labelOnly="1" outline="0" fieldPosition="0">
        <references count="1">
          <reference field="25" count="0"/>
        </references>
      </pivotArea>
    </format>
    <format dxfId="1390">
      <pivotArea field="18" type="button" dataOnly="0" labelOnly="1" outline="0" axis="axisCol" fieldPosition="0"/>
    </format>
    <format dxfId="1389">
      <pivotArea field="-2" type="button" dataOnly="0" labelOnly="1" outline="0" axis="axisCol" fieldPosition="1"/>
    </format>
    <format dxfId="1388">
      <pivotArea type="topRight" dataOnly="0" labelOnly="1" outline="0" fieldPosition="0"/>
    </format>
    <format dxfId="1387">
      <pivotArea dataOnly="0" labelOnly="1" fieldPosition="0">
        <references count="1">
          <reference field="18" count="0"/>
        </references>
      </pivotArea>
    </format>
    <format dxfId="1386">
      <pivotArea field="4" type="button" dataOnly="0" labelOnly="1" outline="0"/>
    </format>
    <format dxfId="1385">
      <pivotArea field="4" type="button" dataOnly="0" labelOnly="1" outline="0"/>
    </format>
    <format dxfId="1384">
      <pivotArea field="4" type="button" dataOnly="0" labelOnly="1" outline="0"/>
    </format>
    <format dxfId="1383">
      <pivotArea field="4" type="button" dataOnly="0" labelOnly="1" outline="0"/>
    </format>
    <format dxfId="1382">
      <pivotArea type="all" dataOnly="0" outline="0" fieldPosition="0"/>
    </format>
    <format dxfId="1381">
      <pivotArea outline="0" collapsedLevelsAreSubtotals="1" fieldPosition="0"/>
    </format>
    <format dxfId="1380">
      <pivotArea type="origin" dataOnly="0" labelOnly="1" outline="0" fieldPosition="0"/>
    </format>
    <format dxfId="1379">
      <pivotArea field="18" type="button" dataOnly="0" labelOnly="1" outline="0" axis="axisCol" fieldPosition="0"/>
    </format>
    <format dxfId="1378">
      <pivotArea field="-2" type="button" dataOnly="0" labelOnly="1" outline="0" axis="axisCol" fieldPosition="1"/>
    </format>
    <format dxfId="1377">
      <pivotArea type="topRight" dataOnly="0" labelOnly="1" outline="0" fieldPosition="0"/>
    </format>
    <format dxfId="1376">
      <pivotArea field="4" type="button" dataOnly="0" labelOnly="1" outline="0"/>
    </format>
    <format dxfId="1375">
      <pivotArea dataOnly="0" labelOnly="1" grandRow="1" outline="0" fieldPosition="0"/>
    </format>
    <format dxfId="1374">
      <pivotArea dataOnly="0" labelOnly="1" fieldPosition="0">
        <references count="1">
          <reference field="18" count="0"/>
        </references>
      </pivotArea>
    </format>
    <format dxfId="1373">
      <pivotArea type="all" dataOnly="0" outline="0" fieldPosition="0"/>
    </format>
    <format dxfId="1372">
      <pivotArea outline="0" collapsedLevelsAreSubtotals="1" fieldPosition="0"/>
    </format>
    <format dxfId="1371">
      <pivotArea type="origin" dataOnly="0" labelOnly="1" outline="0" fieldPosition="0"/>
    </format>
    <format dxfId="1370">
      <pivotArea field="18" type="button" dataOnly="0" labelOnly="1" outline="0" axis="axisCol" fieldPosition="0"/>
    </format>
    <format dxfId="1369">
      <pivotArea field="-2" type="button" dataOnly="0" labelOnly="1" outline="0" axis="axisCol" fieldPosition="1"/>
    </format>
    <format dxfId="1368">
      <pivotArea type="topRight" dataOnly="0" labelOnly="1" outline="0" fieldPosition="0"/>
    </format>
    <format dxfId="1367">
      <pivotArea field="4" type="button" dataOnly="0" labelOnly="1" outline="0"/>
    </format>
    <format dxfId="1366">
      <pivotArea dataOnly="0" labelOnly="1" grandRow="1" outline="0" fieldPosition="0"/>
    </format>
    <format dxfId="1365">
      <pivotArea dataOnly="0" labelOnly="1" fieldPosition="0">
        <references count="1">
          <reference field="18" count="0"/>
        </references>
      </pivotArea>
    </format>
    <format dxfId="1364">
      <pivotArea field="4" type="button" dataOnly="0" labelOnly="1" outline="0"/>
    </format>
    <format dxfId="1363">
      <pivotArea field="4" type="button" dataOnly="0" labelOnly="1" outline="0"/>
    </format>
    <format dxfId="1362">
      <pivotArea type="origin" dataOnly="0" labelOnly="1" outline="0" fieldPosition="0"/>
    </format>
    <format dxfId="1361">
      <pivotArea field="18" type="button" dataOnly="0" labelOnly="1" outline="0" axis="axisCol" fieldPosition="0"/>
    </format>
    <format dxfId="1360">
      <pivotArea field="-2" type="button" dataOnly="0" labelOnly="1" outline="0" axis="axisCol" fieldPosition="1"/>
    </format>
    <format dxfId="1359">
      <pivotArea type="topRight" dataOnly="0" labelOnly="1" outline="0" fieldPosition="0"/>
    </format>
    <format dxfId="1358">
      <pivotArea field="4" type="button" dataOnly="0" labelOnly="1" outline="0"/>
    </format>
    <format dxfId="1357">
      <pivotArea dataOnly="0" labelOnly="1" fieldPosition="0">
        <references count="1">
          <reference field="18" count="0"/>
        </references>
      </pivotArea>
    </format>
    <format dxfId="1356">
      <pivotArea type="origin" dataOnly="0" labelOnly="1" outline="0" fieldPosition="0"/>
    </format>
    <format dxfId="1355">
      <pivotArea field="18" type="button" dataOnly="0" labelOnly="1" outline="0" axis="axisCol" fieldPosition="0"/>
    </format>
    <format dxfId="1354">
      <pivotArea field="-2" type="button" dataOnly="0" labelOnly="1" outline="0" axis="axisCol" fieldPosition="1"/>
    </format>
    <format dxfId="1353">
      <pivotArea type="topRight" dataOnly="0" labelOnly="1" outline="0" fieldPosition="0"/>
    </format>
    <format dxfId="1352">
      <pivotArea field="4" type="button" dataOnly="0" labelOnly="1" outline="0"/>
    </format>
    <format dxfId="1351">
      <pivotArea dataOnly="0" labelOnly="1" fieldPosition="0">
        <references count="1">
          <reference field="18" count="0"/>
        </references>
      </pivotArea>
    </format>
    <format dxfId="1350">
      <pivotArea field="4" type="button" dataOnly="0" labelOnly="1" outline="0"/>
    </format>
    <format dxfId="1349">
      <pivotArea field="4" type="button" dataOnly="0" labelOnly="1" outline="0"/>
    </format>
    <format dxfId="1348">
      <pivotArea field="4" type="button" dataOnly="0" labelOnly="1" outline="0"/>
    </format>
    <format dxfId="1347">
      <pivotArea field="4" type="button" dataOnly="0" labelOnly="1" outline="0"/>
    </format>
    <format dxfId="1346">
      <pivotArea type="all" dataOnly="0" outline="0" fieldPosition="0"/>
    </format>
    <format dxfId="1345">
      <pivotArea outline="0" collapsedLevelsAreSubtotals="1" fieldPosition="0"/>
    </format>
    <format dxfId="1344">
      <pivotArea type="origin" dataOnly="0" labelOnly="1" outline="0" fieldPosition="0"/>
    </format>
    <format dxfId="1343">
      <pivotArea field="18" type="button" dataOnly="0" labelOnly="1" outline="0" axis="axisCol" fieldPosition="0"/>
    </format>
    <format dxfId="1342">
      <pivotArea field="-2" type="button" dataOnly="0" labelOnly="1" outline="0" axis="axisCol" fieldPosition="1"/>
    </format>
    <format dxfId="1341">
      <pivotArea type="topRight" dataOnly="0" labelOnly="1" outline="0" fieldPosition="0"/>
    </format>
    <format dxfId="1340">
      <pivotArea field="2" type="button" dataOnly="0" labelOnly="1" outline="0" axis="axisRow" fieldPosition="0"/>
    </format>
    <format dxfId="1339">
      <pivotArea dataOnly="0" labelOnly="1" fieldPosition="0">
        <references count="1">
          <reference field="2" count="1">
            <x v="7"/>
          </reference>
        </references>
      </pivotArea>
    </format>
    <format dxfId="1338">
      <pivotArea dataOnly="0" labelOnly="1" grandRow="1" outline="0" fieldPosition="0"/>
    </format>
    <format dxfId="1337">
      <pivotArea dataOnly="0" labelOnly="1" fieldPosition="0">
        <references count="1">
          <reference field="18" count="0"/>
        </references>
      </pivotArea>
    </format>
    <format dxfId="1336">
      <pivotArea field="18" dataOnly="0" labelOnly="1" grandCol="1" outline="0" axis="axisCol" fieldPosition="0">
        <references count="1">
          <reference field="4294967294" count="1" selected="0">
            <x v="0"/>
          </reference>
        </references>
      </pivotArea>
    </format>
    <format dxfId="1335">
      <pivotArea field="18" dataOnly="0" labelOnly="1" grandCol="1" outline="0" axis="axisCol" fieldPosition="0">
        <references count="1">
          <reference field="4294967294" count="1" selected="0">
            <x v="1"/>
          </reference>
        </references>
      </pivotArea>
    </format>
    <format dxfId="1334">
      <pivotArea field="18" dataOnly="0" labelOnly="1" grandCol="1" outline="0" axis="axisCol" fieldPosition="0">
        <references count="1">
          <reference field="4294967294" count="1" selected="0">
            <x v="0"/>
          </reference>
        </references>
      </pivotArea>
    </format>
    <format dxfId="1333">
      <pivotArea field="18" dataOnly="0" labelOnly="1" grandCol="1" outline="0" axis="axisCol" fieldPosition="0">
        <references count="1">
          <reference field="4294967294" count="1" selected="0">
            <x v="1"/>
          </reference>
        </references>
      </pivotArea>
    </format>
    <format dxfId="1332">
      <pivotArea dataOnly="0" labelOnly="1" outline="0" fieldPosition="0">
        <references count="2">
          <reference field="4294967294" count="2">
            <x v="0"/>
            <x v="1"/>
          </reference>
          <reference field="18" count="0" selected="0"/>
        </references>
      </pivotArea>
    </format>
    <format dxfId="1331">
      <pivotArea type="all" dataOnly="0" outline="0" fieldPosition="0"/>
    </format>
    <format dxfId="1330">
      <pivotArea outline="0" collapsedLevelsAreSubtotals="1" fieldPosition="0"/>
    </format>
    <format dxfId="1329">
      <pivotArea type="origin" dataOnly="0" labelOnly="1" outline="0" fieldPosition="0"/>
    </format>
    <format dxfId="1328">
      <pivotArea field="18" type="button" dataOnly="0" labelOnly="1" outline="0" axis="axisCol" fieldPosition="0"/>
    </format>
    <format dxfId="1327">
      <pivotArea field="-2" type="button" dataOnly="0" labelOnly="1" outline="0" axis="axisCol" fieldPosition="1"/>
    </format>
    <format dxfId="1326">
      <pivotArea type="topRight" dataOnly="0" labelOnly="1" outline="0" fieldPosition="0"/>
    </format>
    <format dxfId="1325">
      <pivotArea field="2" type="button" dataOnly="0" labelOnly="1" outline="0" axis="axisRow" fieldPosition="0"/>
    </format>
    <format dxfId="1324">
      <pivotArea dataOnly="0" labelOnly="1" fieldPosition="0">
        <references count="1">
          <reference field="2" count="1">
            <x v="7"/>
          </reference>
        </references>
      </pivotArea>
    </format>
    <format dxfId="1323">
      <pivotArea dataOnly="0" labelOnly="1" grandRow="1" outline="0" fieldPosition="0"/>
    </format>
    <format dxfId="1322">
      <pivotArea dataOnly="0" labelOnly="1" fieldPosition="0">
        <references count="1">
          <reference field="18" count="0"/>
        </references>
      </pivotArea>
    </format>
    <format dxfId="1321">
      <pivotArea field="18" dataOnly="0" labelOnly="1" grandCol="1" outline="0" axis="axisCol" fieldPosition="0">
        <references count="1">
          <reference field="4294967294" count="1" selected="0">
            <x v="0"/>
          </reference>
        </references>
      </pivotArea>
    </format>
    <format dxfId="1320">
      <pivotArea field="18" dataOnly="0" labelOnly="1" grandCol="1" outline="0" axis="axisCol" fieldPosition="0">
        <references count="1">
          <reference field="4294967294" count="1" selected="0">
            <x v="1"/>
          </reference>
        </references>
      </pivotArea>
    </format>
    <format dxfId="1319">
      <pivotArea field="18" dataOnly="0" labelOnly="1" grandCol="1" outline="0" axis="axisCol" fieldPosition="0">
        <references count="1">
          <reference field="4294967294" count="1" selected="0">
            <x v="0"/>
          </reference>
        </references>
      </pivotArea>
    </format>
    <format dxfId="1318">
      <pivotArea field="18" dataOnly="0" labelOnly="1" grandCol="1" outline="0" axis="axisCol" fieldPosition="0">
        <references count="1">
          <reference field="4294967294" count="1" selected="0">
            <x v="1"/>
          </reference>
        </references>
      </pivotArea>
    </format>
    <format dxfId="1317">
      <pivotArea dataOnly="0" labelOnly="1" outline="0" fieldPosition="0">
        <references count="2">
          <reference field="4294967294" count="2">
            <x v="0"/>
            <x v="1"/>
          </reference>
          <reference field="18" count="0" selected="0"/>
        </references>
      </pivotArea>
    </format>
    <format dxfId="1316">
      <pivotArea type="all" dataOnly="0" outline="0" fieldPosition="0"/>
    </format>
    <format dxfId="1315">
      <pivotArea outline="0" collapsedLevelsAreSubtotals="1" fieldPosition="0"/>
    </format>
    <format dxfId="1314">
      <pivotArea type="origin" dataOnly="0" labelOnly="1" outline="0" fieldPosition="0"/>
    </format>
    <format dxfId="1313">
      <pivotArea field="18" type="button" dataOnly="0" labelOnly="1" outline="0" axis="axisCol" fieldPosition="0"/>
    </format>
    <format dxfId="1312">
      <pivotArea field="-2" type="button" dataOnly="0" labelOnly="1" outline="0" axis="axisCol" fieldPosition="1"/>
    </format>
    <format dxfId="1311">
      <pivotArea type="topRight" dataOnly="0" labelOnly="1" outline="0" fieldPosition="0"/>
    </format>
    <format dxfId="1310">
      <pivotArea field="2" type="button" dataOnly="0" labelOnly="1" outline="0" axis="axisRow" fieldPosition="0"/>
    </format>
    <format dxfId="1309">
      <pivotArea dataOnly="0" labelOnly="1" fieldPosition="0">
        <references count="1">
          <reference field="2" count="1">
            <x v="7"/>
          </reference>
        </references>
      </pivotArea>
    </format>
    <format dxfId="1308">
      <pivotArea dataOnly="0" labelOnly="1" grandRow="1" outline="0" fieldPosition="0"/>
    </format>
    <format dxfId="1307">
      <pivotArea dataOnly="0" labelOnly="1" fieldPosition="0">
        <references count="1">
          <reference field="18" count="0"/>
        </references>
      </pivotArea>
    </format>
    <format dxfId="1306">
      <pivotArea field="18" dataOnly="0" labelOnly="1" grandCol="1" outline="0" axis="axisCol" fieldPosition="0">
        <references count="1">
          <reference field="4294967294" count="1" selected="0">
            <x v="0"/>
          </reference>
        </references>
      </pivotArea>
    </format>
    <format dxfId="1305">
      <pivotArea field="18" dataOnly="0" labelOnly="1" grandCol="1" outline="0" axis="axisCol" fieldPosition="0">
        <references count="1">
          <reference field="4294967294" count="1" selected="0">
            <x v="1"/>
          </reference>
        </references>
      </pivotArea>
    </format>
    <format dxfId="1304">
      <pivotArea field="18" dataOnly="0" labelOnly="1" grandCol="1" outline="0" axis="axisCol" fieldPosition="0">
        <references count="1">
          <reference field="4294967294" count="1" selected="0">
            <x v="0"/>
          </reference>
        </references>
      </pivotArea>
    </format>
    <format dxfId="1303">
      <pivotArea field="18" dataOnly="0" labelOnly="1" grandCol="1" outline="0" axis="axisCol" fieldPosition="0">
        <references count="1">
          <reference field="4294967294" count="1" selected="0">
            <x v="1"/>
          </reference>
        </references>
      </pivotArea>
    </format>
    <format dxfId="1302">
      <pivotArea dataOnly="0" labelOnly="1" outline="0" fieldPosition="0">
        <references count="2">
          <reference field="4294967294" count="2">
            <x v="0"/>
            <x v="1"/>
          </reference>
          <reference field="18" count="0" selected="0"/>
        </references>
      </pivotArea>
    </format>
    <format dxfId="1301">
      <pivotArea type="all" dataOnly="0" outline="0" fieldPosition="0"/>
    </format>
    <format dxfId="1300">
      <pivotArea outline="0" collapsedLevelsAreSubtotals="1" fieldPosition="0"/>
    </format>
    <format dxfId="1299">
      <pivotArea type="origin" dataOnly="0" labelOnly="1" outline="0" fieldPosition="0"/>
    </format>
    <format dxfId="1298">
      <pivotArea field="18" type="button" dataOnly="0" labelOnly="1" outline="0" axis="axisCol" fieldPosition="0"/>
    </format>
    <format dxfId="1297">
      <pivotArea field="-2" type="button" dataOnly="0" labelOnly="1" outline="0" axis="axisCol" fieldPosition="1"/>
    </format>
    <format dxfId="1296">
      <pivotArea type="topRight" dataOnly="0" labelOnly="1" outline="0" fieldPosition="0"/>
    </format>
    <format dxfId="1295">
      <pivotArea field="2" type="button" dataOnly="0" labelOnly="1" outline="0" axis="axisRow" fieldPosition="0"/>
    </format>
    <format dxfId="1294">
      <pivotArea dataOnly="0" labelOnly="1" fieldPosition="0">
        <references count="1">
          <reference field="2" count="0"/>
        </references>
      </pivotArea>
    </format>
    <format dxfId="1293">
      <pivotArea dataOnly="0" labelOnly="1" grandRow="1" outline="0" fieldPosition="0"/>
    </format>
    <format dxfId="1292">
      <pivotArea dataOnly="0" labelOnly="1" fieldPosition="0">
        <references count="1">
          <reference field="18" count="0"/>
        </references>
      </pivotArea>
    </format>
    <format dxfId="1291">
      <pivotArea field="18" dataOnly="0" labelOnly="1" grandCol="1" outline="0" axis="axisCol" fieldPosition="0">
        <references count="1">
          <reference field="4294967294" count="1" selected="0">
            <x v="0"/>
          </reference>
        </references>
      </pivotArea>
    </format>
    <format dxfId="1290">
      <pivotArea field="18" dataOnly="0" labelOnly="1" grandCol="1" outline="0" axis="axisCol" fieldPosition="0">
        <references count="1">
          <reference field="4294967294" count="1" selected="0">
            <x v="1"/>
          </reference>
        </references>
      </pivotArea>
    </format>
    <format dxfId="1289">
      <pivotArea field="18" dataOnly="0" labelOnly="1" grandCol="1" outline="0" axis="axisCol" fieldPosition="0">
        <references count="1">
          <reference field="4294967294" count="1" selected="0">
            <x v="0"/>
          </reference>
        </references>
      </pivotArea>
    </format>
    <format dxfId="1288">
      <pivotArea field="18" dataOnly="0" labelOnly="1" grandCol="1" outline="0" axis="axisCol" fieldPosition="0">
        <references count="1">
          <reference field="4294967294" count="1" selected="0">
            <x v="1"/>
          </reference>
        </references>
      </pivotArea>
    </format>
    <format dxfId="1287">
      <pivotArea dataOnly="0" labelOnly="1" outline="0" fieldPosition="0">
        <references count="2">
          <reference field="4294967294" count="2">
            <x v="0"/>
            <x v="1"/>
          </reference>
          <reference field="18" count="1" selected="0">
            <x v="0"/>
          </reference>
        </references>
      </pivotArea>
    </format>
    <format dxfId="1286">
      <pivotArea dataOnly="0" labelOnly="1" outline="0" fieldPosition="0">
        <references count="2">
          <reference field="4294967294" count="2">
            <x v="0"/>
            <x v="1"/>
          </reference>
          <reference field="18" count="1" selected="0">
            <x v="1"/>
          </reference>
        </references>
      </pivotArea>
    </format>
    <format dxfId="1285">
      <pivotArea type="all" dataOnly="0" outline="0" fieldPosition="0"/>
    </format>
    <format dxfId="1284">
      <pivotArea outline="0" collapsedLevelsAreSubtotals="1" fieldPosition="0"/>
    </format>
    <format dxfId="1283">
      <pivotArea type="origin" dataOnly="0" labelOnly="1" outline="0" fieldPosition="0"/>
    </format>
    <format dxfId="1282">
      <pivotArea field="18" type="button" dataOnly="0" labelOnly="1" outline="0" axis="axisCol" fieldPosition="0"/>
    </format>
    <format dxfId="1281">
      <pivotArea field="-2" type="button" dataOnly="0" labelOnly="1" outline="0" axis="axisCol" fieldPosition="1"/>
    </format>
    <format dxfId="1280">
      <pivotArea type="topRight" dataOnly="0" labelOnly="1" outline="0" fieldPosition="0"/>
    </format>
    <format dxfId="1279">
      <pivotArea field="2" type="button" dataOnly="0" labelOnly="1" outline="0" axis="axisRow" fieldPosition="0"/>
    </format>
    <format dxfId="1278">
      <pivotArea dataOnly="0" labelOnly="1" fieldPosition="0">
        <references count="1">
          <reference field="2" count="0"/>
        </references>
      </pivotArea>
    </format>
    <format dxfId="1277">
      <pivotArea dataOnly="0" labelOnly="1" grandRow="1" outline="0" fieldPosition="0"/>
    </format>
    <format dxfId="1276">
      <pivotArea dataOnly="0" labelOnly="1" fieldPosition="0">
        <references count="1">
          <reference field="18" count="0"/>
        </references>
      </pivotArea>
    </format>
    <format dxfId="1275">
      <pivotArea field="18" dataOnly="0" labelOnly="1" grandCol="1" outline="0" axis="axisCol" fieldPosition="0">
        <references count="1">
          <reference field="4294967294" count="1" selected="0">
            <x v="0"/>
          </reference>
        </references>
      </pivotArea>
    </format>
    <format dxfId="1274">
      <pivotArea field="18" dataOnly="0" labelOnly="1" grandCol="1" outline="0" axis="axisCol" fieldPosition="0">
        <references count="1">
          <reference field="4294967294" count="1" selected="0">
            <x v="1"/>
          </reference>
        </references>
      </pivotArea>
    </format>
    <format dxfId="1273">
      <pivotArea field="18" dataOnly="0" labelOnly="1" grandCol="1" outline="0" axis="axisCol" fieldPosition="0">
        <references count="1">
          <reference field="4294967294" count="1" selected="0">
            <x v="0"/>
          </reference>
        </references>
      </pivotArea>
    </format>
    <format dxfId="1272">
      <pivotArea field="18" dataOnly="0" labelOnly="1" grandCol="1" outline="0" axis="axisCol" fieldPosition="0">
        <references count="1">
          <reference field="4294967294" count="1" selected="0">
            <x v="1"/>
          </reference>
        </references>
      </pivotArea>
    </format>
    <format dxfId="1271">
      <pivotArea dataOnly="0" labelOnly="1" outline="0" fieldPosition="0">
        <references count="2">
          <reference field="4294967294" count="2">
            <x v="0"/>
            <x v="1"/>
          </reference>
          <reference field="18" count="1" selected="0">
            <x v="0"/>
          </reference>
        </references>
      </pivotArea>
    </format>
    <format dxfId="1270">
      <pivotArea dataOnly="0" labelOnly="1" outline="0" fieldPosition="0">
        <references count="2">
          <reference field="4294967294" count="2">
            <x v="0"/>
            <x v="1"/>
          </reference>
          <reference field="18"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19"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06:U117" firstHeaderRow="1" firstDataRow="3" firstDataCol="1" rowPageCount="1" colPageCount="1"/>
  <pivotFields count="53">
    <pivotField dataField="1" numFmtId="1" showAll="0"/>
    <pivotField showAll="0" defaultSubtotal="0"/>
    <pivotField axis="axisCol" showAll="0">
      <items count="14">
        <item x="4"/>
        <item x="5"/>
        <item x="7"/>
        <item x="6"/>
        <item x="2"/>
        <item x="1"/>
        <item x="0"/>
        <item x="8"/>
        <item m="1" x="12"/>
        <item m="1" x="10"/>
        <item m="1" x="9"/>
        <item m="1" x="11"/>
        <item x="3"/>
        <item t="default"/>
      </items>
    </pivotField>
    <pivotField numFmtId="14" showAll="0"/>
    <pivotField axis="axisRow" showAll="0" sortType="ascending">
      <items count="9">
        <item x="0"/>
        <item x="1"/>
        <item x="2"/>
        <item x="3"/>
        <item x="4"/>
        <item x="5"/>
        <item x="6"/>
        <item x="7"/>
        <item t="default"/>
      </items>
    </pivotField>
    <pivotField showAll="0"/>
    <pivotField showAll="0" defaultSubtotal="0"/>
    <pivotField showAll="0" defaultSubtotal="0"/>
    <pivotField showAll="0"/>
    <pivotField dataField="1" showAll="0" defaultSubtotal="0"/>
    <pivotField showAll="0"/>
    <pivotField showAll="0"/>
    <pivotField showAll="0" defaultSubtotal="0"/>
    <pivotField showAll="0"/>
    <pivotField showAll="0"/>
    <pivotField showAll="0"/>
    <pivotField showAll="0"/>
    <pivotField showAll="0" defaultSubtotal="0"/>
    <pivotField showAll="0">
      <items count="8">
        <item x="1"/>
        <item x="2"/>
        <item x="0"/>
        <item x="5"/>
        <item m="1" x="6"/>
        <item x="3"/>
        <item x="4"/>
        <item t="default"/>
      </items>
    </pivotField>
    <pivotField showAll="0"/>
    <pivotField showAll="0"/>
    <pivotField showAll="0"/>
    <pivotField showAll="0"/>
    <pivotField showAll="0"/>
    <pivotField showAll="0"/>
    <pivotField axis="axisPage" multipleItemSelectionAllowed="1" showAll="0">
      <items count="5">
        <item x="0"/>
        <item x="1"/>
        <item x="2"/>
        <item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5" showAll="0" defaultSubtotal="0"/>
    <pivotField showAll="0" defaultSubtotal="0"/>
    <pivotField showAll="0" defaultSubtotal="0"/>
    <pivotField numFmtId="1" showAll="0" defaultSubtotal="0"/>
  </pivotFields>
  <rowFields count="1">
    <field x="4"/>
  </rowFields>
  <rowItems count="9">
    <i>
      <x/>
    </i>
    <i>
      <x v="1"/>
    </i>
    <i>
      <x v="2"/>
    </i>
    <i>
      <x v="3"/>
    </i>
    <i>
      <x v="4"/>
    </i>
    <i>
      <x v="5"/>
    </i>
    <i>
      <x v="6"/>
    </i>
    <i>
      <x v="7"/>
    </i>
    <i t="grand">
      <x/>
    </i>
  </rowItems>
  <colFields count="2">
    <field x="2"/>
    <field x="-2"/>
  </colFields>
  <colItems count="20">
    <i>
      <x/>
      <x/>
    </i>
    <i r="1" i="1">
      <x v="1"/>
    </i>
    <i>
      <x v="1"/>
      <x/>
    </i>
    <i r="1" i="1">
      <x v="1"/>
    </i>
    <i>
      <x v="2"/>
      <x/>
    </i>
    <i r="1" i="1">
      <x v="1"/>
    </i>
    <i>
      <x v="3"/>
      <x/>
    </i>
    <i r="1" i="1">
      <x v="1"/>
    </i>
    <i>
      <x v="4"/>
      <x/>
    </i>
    <i r="1" i="1">
      <x v="1"/>
    </i>
    <i>
      <x v="5"/>
      <x/>
    </i>
    <i r="1" i="1">
      <x v="1"/>
    </i>
    <i>
      <x v="6"/>
      <x/>
    </i>
    <i r="1" i="1">
      <x v="1"/>
    </i>
    <i>
      <x v="7"/>
      <x/>
    </i>
    <i r="1" i="1">
      <x v="1"/>
    </i>
    <i>
      <x v="12"/>
      <x/>
    </i>
    <i r="1" i="1">
      <x v="1"/>
    </i>
    <i t="grand">
      <x/>
    </i>
    <i t="grand" i="1">
      <x/>
    </i>
  </colItems>
  <pageFields count="1">
    <pageField fld="25" hier="-1"/>
  </pageFields>
  <dataFields count="2">
    <dataField name="Cuenta de Ítem" fld="0" subtotal="count" baseField="4" baseItem="0"/>
    <dataField name="Suma de Valor     Presupuestado " fld="9" baseField="4" baseItem="4"/>
  </dataFields>
  <formats count="228">
    <format dxfId="1638">
      <pivotArea type="all" dataOnly="0" outline="0" fieldPosition="0"/>
    </format>
    <format dxfId="1637">
      <pivotArea outline="0" collapsedLevelsAreSubtotals="1" fieldPosition="0"/>
    </format>
    <format dxfId="1636">
      <pivotArea type="origin" dataOnly="0" labelOnly="1" outline="0" fieldPosition="0"/>
    </format>
    <format dxfId="1635">
      <pivotArea field="18" type="button" dataOnly="0" labelOnly="1" outline="0"/>
    </format>
    <format dxfId="1634">
      <pivotArea type="topRight" dataOnly="0" labelOnly="1" outline="0" fieldPosition="0"/>
    </format>
    <format dxfId="1633">
      <pivotArea field="4" type="button" dataOnly="0" labelOnly="1" outline="0" axis="axisRow" fieldPosition="0"/>
    </format>
    <format dxfId="1632">
      <pivotArea dataOnly="0" labelOnly="1" fieldPosition="0">
        <references count="1">
          <reference field="4" count="0"/>
        </references>
      </pivotArea>
    </format>
    <format dxfId="1631">
      <pivotArea dataOnly="0" labelOnly="1" grandRow="1" outline="0" fieldPosition="0"/>
    </format>
    <format dxfId="1630">
      <pivotArea dataOnly="0" labelOnly="1" grandCol="1" outline="0" fieldPosition="0"/>
    </format>
    <format dxfId="1629">
      <pivotArea field="4" type="button" dataOnly="0" labelOnly="1" outline="0" axis="axisRow" fieldPosition="0"/>
    </format>
    <format dxfId="1628">
      <pivotArea dataOnly="0" labelOnly="1" grandCol="1" outline="0" fieldPosition="0"/>
    </format>
    <format dxfId="1627">
      <pivotArea field="4" type="button" dataOnly="0" labelOnly="1" outline="0" axis="axisRow" fieldPosition="0"/>
    </format>
    <format dxfId="1626">
      <pivotArea dataOnly="0" labelOnly="1" grandCol="1" outline="0" fieldPosition="0"/>
    </format>
    <format dxfId="1625">
      <pivotArea type="origin" dataOnly="0" labelOnly="1" outline="0" fieldPosition="0"/>
    </format>
    <format dxfId="1624">
      <pivotArea field="18" type="button" dataOnly="0" labelOnly="1" outline="0"/>
    </format>
    <format dxfId="1623">
      <pivotArea type="topRight" dataOnly="0" labelOnly="1" outline="0" fieldPosition="0"/>
    </format>
    <format dxfId="1622">
      <pivotArea outline="0" collapsedLevelsAreSubtotals="1" fieldPosition="0"/>
    </format>
    <format dxfId="1621">
      <pivotArea dataOnly="0" labelOnly="1" outline="0" fieldPosition="0">
        <references count="1">
          <reference field="25" count="0"/>
        </references>
      </pivotArea>
    </format>
    <format dxfId="1620">
      <pivotArea field="18" type="button" dataOnly="0" labelOnly="1" outline="0"/>
    </format>
    <format dxfId="1619">
      <pivotArea field="-2" type="button" dataOnly="0" labelOnly="1" outline="0" axis="axisCol" fieldPosition="1"/>
    </format>
    <format dxfId="1618">
      <pivotArea type="topRight" dataOnly="0" labelOnly="1" outline="0" fieldPosition="0"/>
    </format>
    <format dxfId="1617">
      <pivotArea field="4" type="button" dataOnly="0" labelOnly="1" outline="0" axis="axisRow" fieldPosition="0"/>
    </format>
    <format dxfId="1616">
      <pivotArea field="4" type="button" dataOnly="0" labelOnly="1" outline="0" axis="axisRow" fieldPosition="0"/>
    </format>
    <format dxfId="1615">
      <pivotArea field="4" type="button" dataOnly="0" labelOnly="1" outline="0" axis="axisRow" fieldPosition="0"/>
    </format>
    <format dxfId="1614">
      <pivotArea field="4" type="button" dataOnly="0" labelOnly="1" outline="0" axis="axisRow" fieldPosition="0"/>
    </format>
    <format dxfId="1613">
      <pivotArea type="all" dataOnly="0" outline="0" fieldPosition="0"/>
    </format>
    <format dxfId="1612">
      <pivotArea outline="0" collapsedLevelsAreSubtotals="1" fieldPosition="0"/>
    </format>
    <format dxfId="1611">
      <pivotArea type="origin" dataOnly="0" labelOnly="1" outline="0" fieldPosition="0"/>
    </format>
    <format dxfId="1610">
      <pivotArea field="18" type="button" dataOnly="0" labelOnly="1" outline="0"/>
    </format>
    <format dxfId="1609">
      <pivotArea field="-2" type="button" dataOnly="0" labelOnly="1" outline="0" axis="axisCol" fieldPosition="1"/>
    </format>
    <format dxfId="1608">
      <pivotArea type="topRight" dataOnly="0" labelOnly="1" outline="0" fieldPosition="0"/>
    </format>
    <format dxfId="1607">
      <pivotArea field="4" type="button" dataOnly="0" labelOnly="1" outline="0" axis="axisRow" fieldPosition="0"/>
    </format>
    <format dxfId="1606">
      <pivotArea dataOnly="0" labelOnly="1" fieldPosition="0">
        <references count="1">
          <reference field="4" count="0"/>
        </references>
      </pivotArea>
    </format>
    <format dxfId="1605">
      <pivotArea dataOnly="0" labelOnly="1" grandRow="1" outline="0" fieldPosition="0"/>
    </format>
    <format dxfId="1604">
      <pivotArea type="all" dataOnly="0" outline="0" fieldPosition="0"/>
    </format>
    <format dxfId="1603">
      <pivotArea outline="0" collapsedLevelsAreSubtotals="1" fieldPosition="0"/>
    </format>
    <format dxfId="1602">
      <pivotArea type="origin" dataOnly="0" labelOnly="1" outline="0" fieldPosition="0"/>
    </format>
    <format dxfId="1601">
      <pivotArea field="18" type="button" dataOnly="0" labelOnly="1" outline="0"/>
    </format>
    <format dxfId="1600">
      <pivotArea field="-2" type="button" dataOnly="0" labelOnly="1" outline="0" axis="axisCol" fieldPosition="1"/>
    </format>
    <format dxfId="1599">
      <pivotArea type="topRight" dataOnly="0" labelOnly="1" outline="0" fieldPosition="0"/>
    </format>
    <format dxfId="1598">
      <pivotArea field="4" type="button" dataOnly="0" labelOnly="1" outline="0" axis="axisRow" fieldPosition="0"/>
    </format>
    <format dxfId="1597">
      <pivotArea dataOnly="0" labelOnly="1" fieldPosition="0">
        <references count="1">
          <reference field="4" count="0"/>
        </references>
      </pivotArea>
    </format>
    <format dxfId="1596">
      <pivotArea dataOnly="0" labelOnly="1" grandRow="1" outline="0" fieldPosition="0"/>
    </format>
    <format dxfId="1595">
      <pivotArea field="4" type="button" dataOnly="0" labelOnly="1" outline="0" axis="axisRow" fieldPosition="0"/>
    </format>
    <format dxfId="1594">
      <pivotArea field="2" dataOnly="0" labelOnly="1" grandCol="1" outline="0" axis="axisCol" fieldPosition="0">
        <references count="1">
          <reference field="4294967294" count="1" selected="0">
            <x v="0"/>
          </reference>
        </references>
      </pivotArea>
    </format>
    <format dxfId="1593">
      <pivotArea field="2" dataOnly="0" labelOnly="1" grandCol="1" outline="0" axis="axisCol" fieldPosition="0">
        <references count="1">
          <reference field="4294967294" count="1" selected="0">
            <x v="0"/>
          </reference>
        </references>
      </pivotArea>
    </format>
    <format dxfId="1592">
      <pivotArea dataOnly="0" labelOnly="1" outline="0" fieldPosition="0">
        <references count="2">
          <reference field="4294967294" count="1">
            <x v="0"/>
          </reference>
          <reference field="2" count="1" selected="0">
            <x v="0"/>
          </reference>
        </references>
      </pivotArea>
    </format>
    <format dxfId="1591">
      <pivotArea dataOnly="0" labelOnly="1" outline="0" fieldPosition="0">
        <references count="2">
          <reference field="4294967294" count="1">
            <x v="0"/>
          </reference>
          <reference field="2" count="1" selected="0">
            <x v="1"/>
          </reference>
        </references>
      </pivotArea>
    </format>
    <format dxfId="1590">
      <pivotArea dataOnly="0" labelOnly="1" outline="0" fieldPosition="0">
        <references count="2">
          <reference field="4294967294" count="1">
            <x v="0"/>
          </reference>
          <reference field="2" count="1" selected="0">
            <x v="2"/>
          </reference>
        </references>
      </pivotArea>
    </format>
    <format dxfId="1589">
      <pivotArea dataOnly="0" labelOnly="1" outline="0" fieldPosition="0">
        <references count="2">
          <reference field="4294967294" count="1">
            <x v="0"/>
          </reference>
          <reference field="2" count="1" selected="0">
            <x v="3"/>
          </reference>
        </references>
      </pivotArea>
    </format>
    <format dxfId="1588">
      <pivotArea dataOnly="0" labelOnly="1" outline="0" fieldPosition="0">
        <references count="2">
          <reference field="4294967294" count="1">
            <x v="0"/>
          </reference>
          <reference field="2" count="1" selected="0">
            <x v="4"/>
          </reference>
        </references>
      </pivotArea>
    </format>
    <format dxfId="1587">
      <pivotArea dataOnly="0" labelOnly="1" outline="0" fieldPosition="0">
        <references count="2">
          <reference field="4294967294" count="1">
            <x v="0"/>
          </reference>
          <reference field="2" count="1" selected="0">
            <x v="5"/>
          </reference>
        </references>
      </pivotArea>
    </format>
    <format dxfId="1586">
      <pivotArea dataOnly="0" labelOnly="1" outline="0" fieldPosition="0">
        <references count="2">
          <reference field="4294967294" count="1">
            <x v="0"/>
          </reference>
          <reference field="2" count="1" selected="0">
            <x v="6"/>
          </reference>
        </references>
      </pivotArea>
    </format>
    <format dxfId="1585">
      <pivotArea field="4" type="button" dataOnly="0" labelOnly="1" outline="0" axis="axisRow" fieldPosition="0"/>
    </format>
    <format dxfId="1584">
      <pivotArea field="2" dataOnly="0" labelOnly="1" grandCol="1" outline="0" axis="axisCol" fieldPosition="0">
        <references count="1">
          <reference field="4294967294" count="1" selected="0">
            <x v="0"/>
          </reference>
        </references>
      </pivotArea>
    </format>
    <format dxfId="1583">
      <pivotArea field="2" dataOnly="0" labelOnly="1" grandCol="1" outline="0" axis="axisCol" fieldPosition="0">
        <references count="1">
          <reference field="4294967294" count="1" selected="0">
            <x v="0"/>
          </reference>
        </references>
      </pivotArea>
    </format>
    <format dxfId="1582">
      <pivotArea dataOnly="0" labelOnly="1" outline="0" fieldPosition="0">
        <references count="2">
          <reference field="4294967294" count="1">
            <x v="0"/>
          </reference>
          <reference field="2" count="1" selected="0">
            <x v="1"/>
          </reference>
        </references>
      </pivotArea>
    </format>
    <format dxfId="1581">
      <pivotArea dataOnly="0" labelOnly="1" outline="0" fieldPosition="0">
        <references count="2">
          <reference field="4294967294" count="1">
            <x v="0"/>
          </reference>
          <reference field="2" count="1" selected="0">
            <x v="2"/>
          </reference>
        </references>
      </pivotArea>
    </format>
    <format dxfId="1580">
      <pivotArea dataOnly="0" labelOnly="1" outline="0" fieldPosition="0">
        <references count="2">
          <reference field="4294967294" count="1">
            <x v="0"/>
          </reference>
          <reference field="2" count="1" selected="0">
            <x v="3"/>
          </reference>
        </references>
      </pivotArea>
    </format>
    <format dxfId="1579">
      <pivotArea dataOnly="0" labelOnly="1" outline="0" fieldPosition="0">
        <references count="2">
          <reference field="4294967294" count="1">
            <x v="0"/>
          </reference>
          <reference field="2" count="1" selected="0">
            <x v="4"/>
          </reference>
        </references>
      </pivotArea>
    </format>
    <format dxfId="1578">
      <pivotArea dataOnly="0" labelOnly="1" outline="0" fieldPosition="0">
        <references count="2">
          <reference field="4294967294" count="1">
            <x v="0"/>
          </reference>
          <reference field="2" count="1" selected="0">
            <x v="5"/>
          </reference>
        </references>
      </pivotArea>
    </format>
    <format dxfId="1577">
      <pivotArea dataOnly="0" labelOnly="1" outline="0" fieldPosition="0">
        <references count="2">
          <reference field="4294967294" count="1">
            <x v="0"/>
          </reference>
          <reference field="2" count="1" selected="0">
            <x v="6"/>
          </reference>
        </references>
      </pivotArea>
    </format>
    <format dxfId="1576">
      <pivotArea type="origin" dataOnly="0" labelOnly="1" outline="0" fieldPosition="0"/>
    </format>
    <format dxfId="1575">
      <pivotArea field="2" type="button" dataOnly="0" labelOnly="1" outline="0" axis="axisCol" fieldPosition="0"/>
    </format>
    <format dxfId="1574">
      <pivotArea field="-2" type="button" dataOnly="0" labelOnly="1" outline="0" axis="axisCol" fieldPosition="1"/>
    </format>
    <format dxfId="1573">
      <pivotArea type="topRight" dataOnly="0" labelOnly="1" outline="0" fieldPosition="0"/>
    </format>
    <format dxfId="1572">
      <pivotArea field="4" type="button" dataOnly="0" labelOnly="1" outline="0" axis="axisRow" fieldPosition="0"/>
    </format>
    <format dxfId="1571">
      <pivotArea dataOnly="0" labelOnly="1" fieldPosition="0">
        <references count="1">
          <reference field="2" count="0"/>
        </references>
      </pivotArea>
    </format>
    <format dxfId="1570">
      <pivotArea field="2" dataOnly="0" labelOnly="1" grandCol="1" outline="0" axis="axisCol" fieldPosition="0">
        <references count="1">
          <reference field="4294967294" count="1" selected="0">
            <x v="0"/>
          </reference>
        </references>
      </pivotArea>
    </format>
    <format dxfId="1569">
      <pivotArea field="2" dataOnly="0" labelOnly="1" grandCol="1" outline="0" axis="axisCol" fieldPosition="0">
        <references count="1">
          <reference field="4294967294" count="1" selected="0">
            <x v="0"/>
          </reference>
        </references>
      </pivotArea>
    </format>
    <format dxfId="1568">
      <pivotArea dataOnly="0" labelOnly="1" outline="0" fieldPosition="0">
        <references count="2">
          <reference field="4294967294" count="1">
            <x v="0"/>
          </reference>
          <reference field="2" count="1" selected="0">
            <x v="1"/>
          </reference>
        </references>
      </pivotArea>
    </format>
    <format dxfId="1567">
      <pivotArea dataOnly="0" labelOnly="1" outline="0" fieldPosition="0">
        <references count="2">
          <reference field="4294967294" count="1">
            <x v="0"/>
          </reference>
          <reference field="2" count="1" selected="0">
            <x v="2"/>
          </reference>
        </references>
      </pivotArea>
    </format>
    <format dxfId="1566">
      <pivotArea dataOnly="0" labelOnly="1" outline="0" fieldPosition="0">
        <references count="2">
          <reference field="4294967294" count="1">
            <x v="0"/>
          </reference>
          <reference field="2" count="1" selected="0">
            <x v="3"/>
          </reference>
        </references>
      </pivotArea>
    </format>
    <format dxfId="1565">
      <pivotArea dataOnly="0" labelOnly="1" outline="0" fieldPosition="0">
        <references count="2">
          <reference field="4294967294" count="1">
            <x v="0"/>
          </reference>
          <reference field="2" count="1" selected="0">
            <x v="4"/>
          </reference>
        </references>
      </pivotArea>
    </format>
    <format dxfId="1564">
      <pivotArea dataOnly="0" labelOnly="1" outline="0" fieldPosition="0">
        <references count="2">
          <reference field="4294967294" count="1">
            <x v="0"/>
          </reference>
          <reference field="2" count="1" selected="0">
            <x v="5"/>
          </reference>
        </references>
      </pivotArea>
    </format>
    <format dxfId="1563">
      <pivotArea dataOnly="0" labelOnly="1" outline="0" fieldPosition="0">
        <references count="2">
          <reference field="4294967294" count="1">
            <x v="0"/>
          </reference>
          <reference field="2" count="1" selected="0">
            <x v="6"/>
          </reference>
        </references>
      </pivotArea>
    </format>
    <format dxfId="1562">
      <pivotArea type="origin" dataOnly="0" labelOnly="1" outline="0" fieldPosition="0"/>
    </format>
    <format dxfId="1561">
      <pivotArea field="2" type="button" dataOnly="0" labelOnly="1" outline="0" axis="axisCol" fieldPosition="0"/>
    </format>
    <format dxfId="1560">
      <pivotArea field="-2" type="button" dataOnly="0" labelOnly="1" outline="0" axis="axisCol" fieldPosition="1"/>
    </format>
    <format dxfId="1559">
      <pivotArea type="topRight" dataOnly="0" labelOnly="1" outline="0" fieldPosition="0"/>
    </format>
    <format dxfId="1558">
      <pivotArea field="4" type="button" dataOnly="0" labelOnly="1" outline="0" axis="axisRow" fieldPosition="0"/>
    </format>
    <format dxfId="1557">
      <pivotArea dataOnly="0" labelOnly="1" fieldPosition="0">
        <references count="1">
          <reference field="2" count="0"/>
        </references>
      </pivotArea>
    </format>
    <format dxfId="1556">
      <pivotArea field="2" dataOnly="0" labelOnly="1" grandCol="1" outline="0" axis="axisCol" fieldPosition="0">
        <references count="1">
          <reference field="4294967294" count="1" selected="0">
            <x v="0"/>
          </reference>
        </references>
      </pivotArea>
    </format>
    <format dxfId="1555">
      <pivotArea field="2" dataOnly="0" labelOnly="1" grandCol="1" outline="0" axis="axisCol" fieldPosition="0">
        <references count="1">
          <reference field="4294967294" count="1" selected="0">
            <x v="0"/>
          </reference>
        </references>
      </pivotArea>
    </format>
    <format dxfId="1554">
      <pivotArea dataOnly="0" labelOnly="1" outline="0" fieldPosition="0">
        <references count="2">
          <reference field="4294967294" count="1">
            <x v="0"/>
          </reference>
          <reference field="2" count="1" selected="0">
            <x v="1"/>
          </reference>
        </references>
      </pivotArea>
    </format>
    <format dxfId="1553">
      <pivotArea dataOnly="0" labelOnly="1" outline="0" fieldPosition="0">
        <references count="2">
          <reference field="4294967294" count="1">
            <x v="0"/>
          </reference>
          <reference field="2" count="1" selected="0">
            <x v="2"/>
          </reference>
        </references>
      </pivotArea>
    </format>
    <format dxfId="1552">
      <pivotArea dataOnly="0" labelOnly="1" outline="0" fieldPosition="0">
        <references count="2">
          <reference field="4294967294" count="1">
            <x v="0"/>
          </reference>
          <reference field="2" count="1" selected="0">
            <x v="3"/>
          </reference>
        </references>
      </pivotArea>
    </format>
    <format dxfId="1551">
      <pivotArea dataOnly="0" labelOnly="1" outline="0" fieldPosition="0">
        <references count="2">
          <reference field="4294967294" count="1">
            <x v="0"/>
          </reference>
          <reference field="2" count="1" selected="0">
            <x v="4"/>
          </reference>
        </references>
      </pivotArea>
    </format>
    <format dxfId="1550">
      <pivotArea dataOnly="0" labelOnly="1" outline="0" fieldPosition="0">
        <references count="2">
          <reference field="4294967294" count="1">
            <x v="0"/>
          </reference>
          <reference field="2" count="1" selected="0">
            <x v="5"/>
          </reference>
        </references>
      </pivotArea>
    </format>
    <format dxfId="1549">
      <pivotArea dataOnly="0" labelOnly="1" outline="0" fieldPosition="0">
        <references count="2">
          <reference field="4294967294" count="1">
            <x v="0"/>
          </reference>
          <reference field="2" count="1" selected="0">
            <x v="6"/>
          </reference>
        </references>
      </pivotArea>
    </format>
    <format dxfId="1548">
      <pivotArea field="4" type="button" dataOnly="0" labelOnly="1" outline="0" axis="axisRow" fieldPosition="0"/>
    </format>
    <format dxfId="1547">
      <pivotArea field="2" dataOnly="0" labelOnly="1" grandCol="1" outline="0" axis="axisCol" fieldPosition="0">
        <references count="1">
          <reference field="4294967294" count="1" selected="0">
            <x v="0"/>
          </reference>
        </references>
      </pivotArea>
    </format>
    <format dxfId="1546">
      <pivotArea field="2" dataOnly="0" labelOnly="1" grandCol="1" outline="0" axis="axisCol" fieldPosition="0">
        <references count="1">
          <reference field="4294967294" count="1" selected="0">
            <x v="1"/>
          </reference>
        </references>
      </pivotArea>
    </format>
    <format dxfId="1545">
      <pivotArea field="2" dataOnly="0" labelOnly="1" grandCol="1" outline="0" axis="axisCol" fieldPosition="0">
        <references count="1">
          <reference field="4294967294" count="1" selected="0">
            <x v="0"/>
          </reference>
        </references>
      </pivotArea>
    </format>
    <format dxfId="1544">
      <pivotArea field="2" dataOnly="0" labelOnly="1" grandCol="1" outline="0" axis="axisCol" fieldPosition="0">
        <references count="1">
          <reference field="4294967294" count="1" selected="0">
            <x v="1"/>
          </reference>
        </references>
      </pivotArea>
    </format>
    <format dxfId="1543">
      <pivotArea dataOnly="0" labelOnly="1" outline="0" fieldPosition="0">
        <references count="2">
          <reference field="4294967294" count="2">
            <x v="0"/>
            <x v="1"/>
          </reference>
          <reference field="2" count="1" selected="0">
            <x v="0"/>
          </reference>
        </references>
      </pivotArea>
    </format>
    <format dxfId="1542">
      <pivotArea dataOnly="0" labelOnly="1" outline="0" fieldPosition="0">
        <references count="2">
          <reference field="4294967294" count="2">
            <x v="0"/>
            <x v="1"/>
          </reference>
          <reference field="2" count="1" selected="0">
            <x v="1"/>
          </reference>
        </references>
      </pivotArea>
    </format>
    <format dxfId="1541">
      <pivotArea dataOnly="0" labelOnly="1" outline="0" fieldPosition="0">
        <references count="2">
          <reference field="4294967294" count="2">
            <x v="0"/>
            <x v="1"/>
          </reference>
          <reference field="2" count="1" selected="0">
            <x v="2"/>
          </reference>
        </references>
      </pivotArea>
    </format>
    <format dxfId="1540">
      <pivotArea dataOnly="0" labelOnly="1" outline="0" fieldPosition="0">
        <references count="2">
          <reference field="4294967294" count="2">
            <x v="0"/>
            <x v="1"/>
          </reference>
          <reference field="2" count="1" selected="0">
            <x v="3"/>
          </reference>
        </references>
      </pivotArea>
    </format>
    <format dxfId="1539">
      <pivotArea dataOnly="0" labelOnly="1" outline="0" fieldPosition="0">
        <references count="2">
          <reference field="4294967294" count="2">
            <x v="0"/>
            <x v="1"/>
          </reference>
          <reference field="2" count="1" selected="0">
            <x v="4"/>
          </reference>
        </references>
      </pivotArea>
    </format>
    <format dxfId="1538">
      <pivotArea dataOnly="0" labelOnly="1" outline="0" fieldPosition="0">
        <references count="2">
          <reference field="4294967294" count="2">
            <x v="0"/>
            <x v="1"/>
          </reference>
          <reference field="2" count="1" selected="0">
            <x v="5"/>
          </reference>
        </references>
      </pivotArea>
    </format>
    <format dxfId="1537">
      <pivotArea dataOnly="0" labelOnly="1" outline="0" fieldPosition="0">
        <references count="2">
          <reference field="4294967294" count="2">
            <x v="0"/>
            <x v="1"/>
          </reference>
          <reference field="2" count="1" selected="0">
            <x v="6"/>
          </reference>
        </references>
      </pivotArea>
    </format>
    <format dxfId="1536">
      <pivotArea field="4" type="button" dataOnly="0" labelOnly="1" outline="0" axis="axisRow" fieldPosition="0"/>
    </format>
    <format dxfId="1535">
      <pivotArea field="2" dataOnly="0" labelOnly="1" grandCol="1" outline="0" axis="axisCol" fieldPosition="0">
        <references count="1">
          <reference field="4294967294" count="1" selected="0">
            <x v="0"/>
          </reference>
        </references>
      </pivotArea>
    </format>
    <format dxfId="1534">
      <pivotArea field="2" dataOnly="0" labelOnly="1" grandCol="1" outline="0" axis="axisCol" fieldPosition="0">
        <references count="1">
          <reference field="4294967294" count="1" selected="0">
            <x v="1"/>
          </reference>
        </references>
      </pivotArea>
    </format>
    <format dxfId="1533">
      <pivotArea field="2" dataOnly="0" labelOnly="1" grandCol="1" outline="0" axis="axisCol" fieldPosition="0">
        <references count="1">
          <reference field="4294967294" count="1" selected="0">
            <x v="0"/>
          </reference>
        </references>
      </pivotArea>
    </format>
    <format dxfId="1532">
      <pivotArea field="2" dataOnly="0" labelOnly="1" grandCol="1" outline="0" axis="axisCol" fieldPosition="0">
        <references count="1">
          <reference field="4294967294" count="1" selected="0">
            <x v="1"/>
          </reference>
        </references>
      </pivotArea>
    </format>
    <format dxfId="1531">
      <pivotArea dataOnly="0" labelOnly="1" outline="0" fieldPosition="0">
        <references count="2">
          <reference field="4294967294" count="2">
            <x v="0"/>
            <x v="1"/>
          </reference>
          <reference field="2" count="1" selected="0">
            <x v="0"/>
          </reference>
        </references>
      </pivotArea>
    </format>
    <format dxfId="1530">
      <pivotArea dataOnly="0" labelOnly="1" outline="0" fieldPosition="0">
        <references count="2">
          <reference field="4294967294" count="2">
            <x v="0"/>
            <x v="1"/>
          </reference>
          <reference field="2" count="1" selected="0">
            <x v="1"/>
          </reference>
        </references>
      </pivotArea>
    </format>
    <format dxfId="1529">
      <pivotArea dataOnly="0" labelOnly="1" outline="0" fieldPosition="0">
        <references count="2">
          <reference field="4294967294" count="2">
            <x v="0"/>
            <x v="1"/>
          </reference>
          <reference field="2" count="1" selected="0">
            <x v="2"/>
          </reference>
        </references>
      </pivotArea>
    </format>
    <format dxfId="1528">
      <pivotArea dataOnly="0" labelOnly="1" outline="0" fieldPosition="0">
        <references count="2">
          <reference field="4294967294" count="2">
            <x v="0"/>
            <x v="1"/>
          </reference>
          <reference field="2" count="1" selected="0">
            <x v="3"/>
          </reference>
        </references>
      </pivotArea>
    </format>
    <format dxfId="1527">
      <pivotArea dataOnly="0" labelOnly="1" outline="0" fieldPosition="0">
        <references count="2">
          <reference field="4294967294" count="2">
            <x v="0"/>
            <x v="1"/>
          </reference>
          <reference field="2" count="1" selected="0">
            <x v="4"/>
          </reference>
        </references>
      </pivotArea>
    </format>
    <format dxfId="1526">
      <pivotArea dataOnly="0" labelOnly="1" outline="0" fieldPosition="0">
        <references count="2">
          <reference field="4294967294" count="2">
            <x v="0"/>
            <x v="1"/>
          </reference>
          <reference field="2" count="1" selected="0">
            <x v="5"/>
          </reference>
        </references>
      </pivotArea>
    </format>
    <format dxfId="1525">
      <pivotArea dataOnly="0" labelOnly="1" outline="0" fieldPosition="0">
        <references count="2">
          <reference field="4294967294" count="2">
            <x v="0"/>
            <x v="1"/>
          </reference>
          <reference field="2" count="1" selected="0">
            <x v="6"/>
          </reference>
        </references>
      </pivotArea>
    </format>
    <format dxfId="1524">
      <pivotArea field="4" type="button" dataOnly="0" labelOnly="1" outline="0" axis="axisRow" fieldPosition="0"/>
    </format>
    <format dxfId="1523">
      <pivotArea field="2" dataOnly="0" labelOnly="1" grandCol="1" outline="0" axis="axisCol" fieldPosition="0">
        <references count="1">
          <reference field="4294967294" count="1" selected="0">
            <x v="0"/>
          </reference>
        </references>
      </pivotArea>
    </format>
    <format dxfId="1522">
      <pivotArea field="2" dataOnly="0" labelOnly="1" grandCol="1" outline="0" axis="axisCol" fieldPosition="0">
        <references count="1">
          <reference field="4294967294" count="1" selected="0">
            <x v="1"/>
          </reference>
        </references>
      </pivotArea>
    </format>
    <format dxfId="1521">
      <pivotArea field="2" dataOnly="0" labelOnly="1" grandCol="1" outline="0" axis="axisCol" fieldPosition="0">
        <references count="1">
          <reference field="4294967294" count="1" selected="0">
            <x v="0"/>
          </reference>
        </references>
      </pivotArea>
    </format>
    <format dxfId="1520">
      <pivotArea field="2" dataOnly="0" labelOnly="1" grandCol="1" outline="0" axis="axisCol" fieldPosition="0">
        <references count="1">
          <reference field="4294967294" count="1" selected="0">
            <x v="1"/>
          </reference>
        </references>
      </pivotArea>
    </format>
    <format dxfId="1519">
      <pivotArea dataOnly="0" labelOnly="1" outline="0" fieldPosition="0">
        <references count="2">
          <reference field="4294967294" count="2">
            <x v="0"/>
            <x v="1"/>
          </reference>
          <reference field="2" count="1" selected="0">
            <x v="0"/>
          </reference>
        </references>
      </pivotArea>
    </format>
    <format dxfId="1518">
      <pivotArea dataOnly="0" labelOnly="1" outline="0" fieldPosition="0">
        <references count="2">
          <reference field="4294967294" count="2">
            <x v="0"/>
            <x v="1"/>
          </reference>
          <reference field="2" count="1" selected="0">
            <x v="1"/>
          </reference>
        </references>
      </pivotArea>
    </format>
    <format dxfId="1517">
      <pivotArea dataOnly="0" labelOnly="1" outline="0" fieldPosition="0">
        <references count="2">
          <reference field="4294967294" count="2">
            <x v="0"/>
            <x v="1"/>
          </reference>
          <reference field="2" count="1" selected="0">
            <x v="2"/>
          </reference>
        </references>
      </pivotArea>
    </format>
    <format dxfId="1516">
      <pivotArea dataOnly="0" labelOnly="1" outline="0" fieldPosition="0">
        <references count="2">
          <reference field="4294967294" count="2">
            <x v="0"/>
            <x v="1"/>
          </reference>
          <reference field="2" count="1" selected="0">
            <x v="3"/>
          </reference>
        </references>
      </pivotArea>
    </format>
    <format dxfId="1515">
      <pivotArea dataOnly="0" labelOnly="1" outline="0" fieldPosition="0">
        <references count="2">
          <reference field="4294967294" count="2">
            <x v="0"/>
            <x v="1"/>
          </reference>
          <reference field="2" count="1" selected="0">
            <x v="4"/>
          </reference>
        </references>
      </pivotArea>
    </format>
    <format dxfId="1514">
      <pivotArea dataOnly="0" labelOnly="1" outline="0" fieldPosition="0">
        <references count="2">
          <reference field="4294967294" count="2">
            <x v="0"/>
            <x v="1"/>
          </reference>
          <reference field="2" count="1" selected="0">
            <x v="5"/>
          </reference>
        </references>
      </pivotArea>
    </format>
    <format dxfId="1513">
      <pivotArea dataOnly="0" labelOnly="1" outline="0" fieldPosition="0">
        <references count="2">
          <reference field="4294967294" count="2">
            <x v="0"/>
            <x v="1"/>
          </reference>
          <reference field="2" count="1" selected="0">
            <x v="6"/>
          </reference>
        </references>
      </pivotArea>
    </format>
    <format dxfId="1512">
      <pivotArea field="4" type="button" dataOnly="0" labelOnly="1" outline="0" axis="axisRow" fieldPosition="0"/>
    </format>
    <format dxfId="1511">
      <pivotArea field="2" dataOnly="0" labelOnly="1" grandCol="1" outline="0" axis="axisCol" fieldPosition="0">
        <references count="1">
          <reference field="4294967294" count="1" selected="0">
            <x v="0"/>
          </reference>
        </references>
      </pivotArea>
    </format>
    <format dxfId="1510">
      <pivotArea field="2" dataOnly="0" labelOnly="1" grandCol="1" outline="0" axis="axisCol" fieldPosition="0">
        <references count="1">
          <reference field="4294967294" count="1" selected="0">
            <x v="1"/>
          </reference>
        </references>
      </pivotArea>
    </format>
    <format dxfId="1509">
      <pivotArea field="2" dataOnly="0" labelOnly="1" grandCol="1" outline="0" axis="axisCol" fieldPosition="0">
        <references count="1">
          <reference field="4294967294" count="1" selected="0">
            <x v="0"/>
          </reference>
        </references>
      </pivotArea>
    </format>
    <format dxfId="1508">
      <pivotArea field="2" dataOnly="0" labelOnly="1" grandCol="1" outline="0" axis="axisCol" fieldPosition="0">
        <references count="1">
          <reference field="4294967294" count="1" selected="0">
            <x v="1"/>
          </reference>
        </references>
      </pivotArea>
    </format>
    <format dxfId="1507">
      <pivotArea dataOnly="0" labelOnly="1" outline="0" fieldPosition="0">
        <references count="2">
          <reference field="4294967294" count="2">
            <x v="0"/>
            <x v="1"/>
          </reference>
          <reference field="2" count="1" selected="0">
            <x v="0"/>
          </reference>
        </references>
      </pivotArea>
    </format>
    <format dxfId="1506">
      <pivotArea dataOnly="0" labelOnly="1" outline="0" fieldPosition="0">
        <references count="2">
          <reference field="4294967294" count="2">
            <x v="0"/>
            <x v="1"/>
          </reference>
          <reference field="2" count="1" selected="0">
            <x v="1"/>
          </reference>
        </references>
      </pivotArea>
    </format>
    <format dxfId="1505">
      <pivotArea dataOnly="0" labelOnly="1" outline="0" fieldPosition="0">
        <references count="2">
          <reference field="4294967294" count="2">
            <x v="0"/>
            <x v="1"/>
          </reference>
          <reference field="2" count="1" selected="0">
            <x v="2"/>
          </reference>
        </references>
      </pivotArea>
    </format>
    <format dxfId="1504">
      <pivotArea dataOnly="0" labelOnly="1" outline="0" fieldPosition="0">
        <references count="2">
          <reference field="4294967294" count="2">
            <x v="0"/>
            <x v="1"/>
          </reference>
          <reference field="2" count="1" selected="0">
            <x v="3"/>
          </reference>
        </references>
      </pivotArea>
    </format>
    <format dxfId="1503">
      <pivotArea dataOnly="0" labelOnly="1" outline="0" fieldPosition="0">
        <references count="2">
          <reference field="4294967294" count="2">
            <x v="0"/>
            <x v="1"/>
          </reference>
          <reference field="2" count="1" selected="0">
            <x v="4"/>
          </reference>
        </references>
      </pivotArea>
    </format>
    <format dxfId="1502">
      <pivotArea dataOnly="0" labelOnly="1" outline="0" fieldPosition="0">
        <references count="2">
          <reference field="4294967294" count="2">
            <x v="0"/>
            <x v="1"/>
          </reference>
          <reference field="2" count="1" selected="0">
            <x v="5"/>
          </reference>
        </references>
      </pivotArea>
    </format>
    <format dxfId="1501">
      <pivotArea dataOnly="0" labelOnly="1" outline="0" fieldPosition="0">
        <references count="2">
          <reference field="4294967294" count="2">
            <x v="0"/>
            <x v="1"/>
          </reference>
          <reference field="2" count="1" selected="0">
            <x v="6"/>
          </reference>
        </references>
      </pivotArea>
    </format>
    <format dxfId="1500">
      <pivotArea type="all" dataOnly="0" outline="0" fieldPosition="0"/>
    </format>
    <format dxfId="1499">
      <pivotArea outline="0" collapsedLevelsAreSubtotals="1" fieldPosition="0"/>
    </format>
    <format dxfId="1498">
      <pivotArea type="origin" dataOnly="0" labelOnly="1" outline="0" fieldPosition="0"/>
    </format>
    <format dxfId="1497">
      <pivotArea field="2" type="button" dataOnly="0" labelOnly="1" outline="0" axis="axisCol" fieldPosition="0"/>
    </format>
    <format dxfId="1496">
      <pivotArea field="-2" type="button" dataOnly="0" labelOnly="1" outline="0" axis="axisCol" fieldPosition="1"/>
    </format>
    <format dxfId="1495">
      <pivotArea type="topRight" dataOnly="0" labelOnly="1" outline="0" fieldPosition="0"/>
    </format>
    <format dxfId="1494">
      <pivotArea field="4" type="button" dataOnly="0" labelOnly="1" outline="0" axis="axisRow" fieldPosition="0"/>
    </format>
    <format dxfId="1493">
      <pivotArea dataOnly="0" labelOnly="1" fieldPosition="0">
        <references count="1">
          <reference field="4" count="0"/>
        </references>
      </pivotArea>
    </format>
    <format dxfId="1492">
      <pivotArea dataOnly="0" labelOnly="1" grandRow="1" outline="0" fieldPosition="0"/>
    </format>
    <format dxfId="1491">
      <pivotArea dataOnly="0" labelOnly="1" fieldPosition="0">
        <references count="1">
          <reference field="2" count="0"/>
        </references>
      </pivotArea>
    </format>
    <format dxfId="1490">
      <pivotArea field="2" dataOnly="0" labelOnly="1" grandCol="1" outline="0" axis="axisCol" fieldPosition="0">
        <references count="1">
          <reference field="4294967294" count="1" selected="0">
            <x v="0"/>
          </reference>
        </references>
      </pivotArea>
    </format>
    <format dxfId="1489">
      <pivotArea field="2" dataOnly="0" labelOnly="1" grandCol="1" outline="0" axis="axisCol" fieldPosition="0">
        <references count="1">
          <reference field="4294967294" count="1" selected="0">
            <x v="1"/>
          </reference>
        </references>
      </pivotArea>
    </format>
    <format dxfId="1488">
      <pivotArea field="2" dataOnly="0" labelOnly="1" grandCol="1" outline="0" axis="axisCol" fieldPosition="0">
        <references count="1">
          <reference field="4294967294" count="1" selected="0">
            <x v="0"/>
          </reference>
        </references>
      </pivotArea>
    </format>
    <format dxfId="1487">
      <pivotArea field="2" dataOnly="0" labelOnly="1" grandCol="1" outline="0" axis="axisCol" fieldPosition="0">
        <references count="1">
          <reference field="4294967294" count="1" selected="0">
            <x v="1"/>
          </reference>
        </references>
      </pivotArea>
    </format>
    <format dxfId="1486">
      <pivotArea dataOnly="0" labelOnly="1" outline="0" fieldPosition="0">
        <references count="2">
          <reference field="4294967294" count="2">
            <x v="0"/>
            <x v="1"/>
          </reference>
          <reference field="2" count="1" selected="0">
            <x v="5"/>
          </reference>
        </references>
      </pivotArea>
    </format>
    <format dxfId="1485">
      <pivotArea dataOnly="0" labelOnly="1" outline="0" fieldPosition="0">
        <references count="2">
          <reference field="4294967294" count="2">
            <x v="0"/>
            <x v="1"/>
          </reference>
          <reference field="2" count="1" selected="0">
            <x v="6"/>
          </reference>
        </references>
      </pivotArea>
    </format>
    <format dxfId="1484">
      <pivotArea type="all" dataOnly="0" outline="0" fieldPosition="0"/>
    </format>
    <format dxfId="1483">
      <pivotArea outline="0" collapsedLevelsAreSubtotals="1" fieldPosition="0"/>
    </format>
    <format dxfId="1482">
      <pivotArea type="origin" dataOnly="0" labelOnly="1" outline="0" fieldPosition="0"/>
    </format>
    <format dxfId="1481">
      <pivotArea field="2" type="button" dataOnly="0" labelOnly="1" outline="0" axis="axisCol" fieldPosition="0"/>
    </format>
    <format dxfId="1480">
      <pivotArea field="-2" type="button" dataOnly="0" labelOnly="1" outline="0" axis="axisCol" fieldPosition="1"/>
    </format>
    <format dxfId="1479">
      <pivotArea type="topRight" dataOnly="0" labelOnly="1" outline="0" fieldPosition="0"/>
    </format>
    <format dxfId="1478">
      <pivotArea field="4" type="button" dataOnly="0" labelOnly="1" outline="0" axis="axisRow" fieldPosition="0"/>
    </format>
    <format dxfId="1477">
      <pivotArea dataOnly="0" labelOnly="1" fieldPosition="0">
        <references count="1">
          <reference field="4" count="0"/>
        </references>
      </pivotArea>
    </format>
    <format dxfId="1476">
      <pivotArea dataOnly="0" labelOnly="1" grandRow="1" outline="0" fieldPosition="0"/>
    </format>
    <format dxfId="1475">
      <pivotArea dataOnly="0" labelOnly="1" fieldPosition="0">
        <references count="1">
          <reference field="2" count="0"/>
        </references>
      </pivotArea>
    </format>
    <format dxfId="1474">
      <pivotArea field="2" dataOnly="0" labelOnly="1" grandCol="1" outline="0" axis="axisCol" fieldPosition="0">
        <references count="1">
          <reference field="4294967294" count="1" selected="0">
            <x v="0"/>
          </reference>
        </references>
      </pivotArea>
    </format>
    <format dxfId="1473">
      <pivotArea field="2" dataOnly="0" labelOnly="1" grandCol="1" outline="0" axis="axisCol" fieldPosition="0">
        <references count="1">
          <reference field="4294967294" count="1" selected="0">
            <x v="1"/>
          </reference>
        </references>
      </pivotArea>
    </format>
    <format dxfId="1472">
      <pivotArea field="2" dataOnly="0" labelOnly="1" grandCol="1" outline="0" axis="axisCol" fieldPosition="0">
        <references count="1">
          <reference field="4294967294" count="1" selected="0">
            <x v="0"/>
          </reference>
        </references>
      </pivotArea>
    </format>
    <format dxfId="1471">
      <pivotArea field="2" dataOnly="0" labelOnly="1" grandCol="1" outline="0" axis="axisCol" fieldPosition="0">
        <references count="1">
          <reference field="4294967294" count="1" selected="0">
            <x v="1"/>
          </reference>
        </references>
      </pivotArea>
    </format>
    <format dxfId="1470">
      <pivotArea dataOnly="0" labelOnly="1" outline="0" fieldPosition="0">
        <references count="2">
          <reference field="4294967294" count="2">
            <x v="0"/>
            <x v="1"/>
          </reference>
          <reference field="2" count="1" selected="0">
            <x v="5"/>
          </reference>
        </references>
      </pivotArea>
    </format>
    <format dxfId="1469">
      <pivotArea dataOnly="0" labelOnly="1" outline="0" fieldPosition="0">
        <references count="2">
          <reference field="4294967294" count="2">
            <x v="0"/>
            <x v="1"/>
          </reference>
          <reference field="2" count="1" selected="0">
            <x v="6"/>
          </reference>
        </references>
      </pivotArea>
    </format>
    <format dxfId="1468">
      <pivotArea type="all" dataOnly="0" outline="0" fieldPosition="0"/>
    </format>
    <format dxfId="1467">
      <pivotArea outline="0" collapsedLevelsAreSubtotals="1" fieldPosition="0"/>
    </format>
    <format dxfId="1466">
      <pivotArea type="origin" dataOnly="0" labelOnly="1" outline="0" fieldPosition="0"/>
    </format>
    <format dxfId="1465">
      <pivotArea field="2" type="button" dataOnly="0" labelOnly="1" outline="0" axis="axisCol" fieldPosition="0"/>
    </format>
    <format dxfId="1464">
      <pivotArea field="-2" type="button" dataOnly="0" labelOnly="1" outline="0" axis="axisCol" fieldPosition="1"/>
    </format>
    <format dxfId="1463">
      <pivotArea type="topRight" dataOnly="0" labelOnly="1" outline="0" fieldPosition="0"/>
    </format>
    <format dxfId="1462">
      <pivotArea field="4" type="button" dataOnly="0" labelOnly="1" outline="0" axis="axisRow" fieldPosition="0"/>
    </format>
    <format dxfId="1461">
      <pivotArea dataOnly="0" labelOnly="1" fieldPosition="0">
        <references count="1">
          <reference field="4" count="0"/>
        </references>
      </pivotArea>
    </format>
    <format dxfId="1460">
      <pivotArea dataOnly="0" labelOnly="1" grandRow="1" outline="0" fieldPosition="0"/>
    </format>
    <format dxfId="1459">
      <pivotArea dataOnly="0" labelOnly="1" fieldPosition="0">
        <references count="1">
          <reference field="2" count="0"/>
        </references>
      </pivotArea>
    </format>
    <format dxfId="1458">
      <pivotArea field="2" dataOnly="0" labelOnly="1" grandCol="1" outline="0" axis="axisCol" fieldPosition="0">
        <references count="1">
          <reference field="4294967294" count="1" selected="0">
            <x v="0"/>
          </reference>
        </references>
      </pivotArea>
    </format>
    <format dxfId="1457">
      <pivotArea field="2" dataOnly="0" labelOnly="1" grandCol="1" outline="0" axis="axisCol" fieldPosition="0">
        <references count="1">
          <reference field="4294967294" count="1" selected="0">
            <x v="1"/>
          </reference>
        </references>
      </pivotArea>
    </format>
    <format dxfId="1456">
      <pivotArea field="2" dataOnly="0" labelOnly="1" grandCol="1" outline="0" axis="axisCol" fieldPosition="0">
        <references count="1">
          <reference field="4294967294" count="1" selected="0">
            <x v="0"/>
          </reference>
        </references>
      </pivotArea>
    </format>
    <format dxfId="1455">
      <pivotArea field="2" dataOnly="0" labelOnly="1" grandCol="1" outline="0" axis="axisCol" fieldPosition="0">
        <references count="1">
          <reference field="4294967294" count="1" selected="0">
            <x v="1"/>
          </reference>
        </references>
      </pivotArea>
    </format>
    <format dxfId="1454">
      <pivotArea dataOnly="0" labelOnly="1" outline="0" fieldPosition="0">
        <references count="2">
          <reference field="4294967294" count="2">
            <x v="0"/>
            <x v="1"/>
          </reference>
          <reference field="2" count="1" selected="0">
            <x v="5"/>
          </reference>
        </references>
      </pivotArea>
    </format>
    <format dxfId="1453">
      <pivotArea dataOnly="0" labelOnly="1" outline="0" fieldPosition="0">
        <references count="2">
          <reference field="4294967294" count="2">
            <x v="0"/>
            <x v="1"/>
          </reference>
          <reference field="2" count="1" selected="0">
            <x v="6"/>
          </reference>
        </references>
      </pivotArea>
    </format>
    <format dxfId="1452">
      <pivotArea type="all" dataOnly="0" outline="0" fieldPosition="0"/>
    </format>
    <format dxfId="1451">
      <pivotArea outline="0" collapsedLevelsAreSubtotals="1" fieldPosition="0"/>
    </format>
    <format dxfId="1450">
      <pivotArea type="origin" dataOnly="0" labelOnly="1" outline="0" fieldPosition="0"/>
    </format>
    <format dxfId="1449">
      <pivotArea field="2" type="button" dataOnly="0" labelOnly="1" outline="0" axis="axisCol" fieldPosition="0"/>
    </format>
    <format dxfId="1448">
      <pivotArea field="-2" type="button" dataOnly="0" labelOnly="1" outline="0" axis="axisCol" fieldPosition="1"/>
    </format>
    <format dxfId="1447">
      <pivotArea type="topRight" dataOnly="0" labelOnly="1" outline="0" fieldPosition="0"/>
    </format>
    <format dxfId="1446">
      <pivotArea field="4" type="button" dataOnly="0" labelOnly="1" outline="0" axis="axisRow" fieldPosition="0"/>
    </format>
    <format dxfId="1445">
      <pivotArea dataOnly="0" labelOnly="1" fieldPosition="0">
        <references count="1">
          <reference field="4" count="0"/>
        </references>
      </pivotArea>
    </format>
    <format dxfId="1444">
      <pivotArea dataOnly="0" labelOnly="1" grandRow="1" outline="0" fieldPosition="0"/>
    </format>
    <format dxfId="1443">
      <pivotArea dataOnly="0" labelOnly="1" fieldPosition="0">
        <references count="1">
          <reference field="2" count="0"/>
        </references>
      </pivotArea>
    </format>
    <format dxfId="1442">
      <pivotArea field="2" dataOnly="0" labelOnly="1" grandCol="1" outline="0" axis="axisCol" fieldPosition="0">
        <references count="1">
          <reference field="4294967294" count="1" selected="0">
            <x v="0"/>
          </reference>
        </references>
      </pivotArea>
    </format>
    <format dxfId="1441">
      <pivotArea field="2" dataOnly="0" labelOnly="1" grandCol="1" outline="0" axis="axisCol" fieldPosition="0">
        <references count="1">
          <reference field="4294967294" count="1" selected="0">
            <x v="1"/>
          </reference>
        </references>
      </pivotArea>
    </format>
    <format dxfId="1440">
      <pivotArea field="2" dataOnly="0" labelOnly="1" grandCol="1" outline="0" axis="axisCol" fieldPosition="0">
        <references count="1">
          <reference field="4294967294" count="1" selected="0">
            <x v="0"/>
          </reference>
        </references>
      </pivotArea>
    </format>
    <format dxfId="1439">
      <pivotArea field="2" dataOnly="0" labelOnly="1" grandCol="1" outline="0" axis="axisCol" fieldPosition="0">
        <references count="1">
          <reference field="4294967294" count="1" selected="0">
            <x v="1"/>
          </reference>
        </references>
      </pivotArea>
    </format>
    <format dxfId="1438">
      <pivotArea dataOnly="0" labelOnly="1" outline="0" fieldPosition="0">
        <references count="2">
          <reference field="4294967294" count="2">
            <x v="0"/>
            <x v="1"/>
          </reference>
          <reference field="2" count="1" selected="0">
            <x v="0"/>
          </reference>
        </references>
      </pivotArea>
    </format>
    <format dxfId="1437">
      <pivotArea dataOnly="0" labelOnly="1" outline="0" fieldPosition="0">
        <references count="2">
          <reference field="4294967294" count="2">
            <x v="0"/>
            <x v="1"/>
          </reference>
          <reference field="2" count="1" selected="0">
            <x v="1"/>
          </reference>
        </references>
      </pivotArea>
    </format>
    <format dxfId="1436">
      <pivotArea dataOnly="0" labelOnly="1" outline="0" fieldPosition="0">
        <references count="2">
          <reference field="4294967294" count="2">
            <x v="0"/>
            <x v="1"/>
          </reference>
          <reference field="2" count="1" selected="0">
            <x v="2"/>
          </reference>
        </references>
      </pivotArea>
    </format>
    <format dxfId="1435">
      <pivotArea dataOnly="0" labelOnly="1" outline="0" fieldPosition="0">
        <references count="2">
          <reference field="4294967294" count="2">
            <x v="0"/>
            <x v="1"/>
          </reference>
          <reference field="2" count="1" selected="0">
            <x v="3"/>
          </reference>
        </references>
      </pivotArea>
    </format>
    <format dxfId="1434">
      <pivotArea dataOnly="0" labelOnly="1" outline="0" fieldPosition="0">
        <references count="2">
          <reference field="4294967294" count="2">
            <x v="0"/>
            <x v="1"/>
          </reference>
          <reference field="2" count="1" selected="0">
            <x v="4"/>
          </reference>
        </references>
      </pivotArea>
    </format>
    <format dxfId="1433">
      <pivotArea dataOnly="0" labelOnly="1" outline="0" fieldPosition="0">
        <references count="2">
          <reference field="4294967294" count="2">
            <x v="0"/>
            <x v="1"/>
          </reference>
          <reference field="2" count="1" selected="0">
            <x v="5"/>
          </reference>
        </references>
      </pivotArea>
    </format>
    <format dxfId="1432">
      <pivotArea dataOnly="0" labelOnly="1" outline="0" fieldPosition="0">
        <references count="2">
          <reference field="4294967294" count="2">
            <x v="0"/>
            <x v="1"/>
          </reference>
          <reference field="2" count="1" selected="0">
            <x v="6"/>
          </reference>
        </references>
      </pivotArea>
    </format>
    <format dxfId="1431">
      <pivotArea type="all" dataOnly="0" outline="0" fieldPosition="0"/>
    </format>
    <format dxfId="1430">
      <pivotArea outline="0" collapsedLevelsAreSubtotals="1" fieldPosition="0"/>
    </format>
    <format dxfId="1429">
      <pivotArea type="origin" dataOnly="0" labelOnly="1" outline="0" fieldPosition="0"/>
    </format>
    <format dxfId="1428">
      <pivotArea field="2" type="button" dataOnly="0" labelOnly="1" outline="0" axis="axisCol" fieldPosition="0"/>
    </format>
    <format dxfId="1427">
      <pivotArea field="-2" type="button" dataOnly="0" labelOnly="1" outline="0" axis="axisCol" fieldPosition="1"/>
    </format>
    <format dxfId="1426">
      <pivotArea type="topRight" dataOnly="0" labelOnly="1" outline="0" fieldPosition="0"/>
    </format>
    <format dxfId="1425">
      <pivotArea field="4" type="button" dataOnly="0" labelOnly="1" outline="0" axis="axisRow" fieldPosition="0"/>
    </format>
    <format dxfId="1424">
      <pivotArea dataOnly="0" labelOnly="1" fieldPosition="0">
        <references count="1">
          <reference field="4" count="0"/>
        </references>
      </pivotArea>
    </format>
    <format dxfId="1423">
      <pivotArea dataOnly="0" labelOnly="1" grandRow="1" outline="0" fieldPosition="0"/>
    </format>
    <format dxfId="1422">
      <pivotArea dataOnly="0" labelOnly="1" fieldPosition="0">
        <references count="1">
          <reference field="2" count="0"/>
        </references>
      </pivotArea>
    </format>
    <format dxfId="1421">
      <pivotArea field="2" dataOnly="0" labelOnly="1" grandCol="1" outline="0" axis="axisCol" fieldPosition="0">
        <references count="1">
          <reference field="4294967294" count="1" selected="0">
            <x v="0"/>
          </reference>
        </references>
      </pivotArea>
    </format>
    <format dxfId="1420">
      <pivotArea field="2" dataOnly="0" labelOnly="1" grandCol="1" outline="0" axis="axisCol" fieldPosition="0">
        <references count="1">
          <reference field="4294967294" count="1" selected="0">
            <x v="1"/>
          </reference>
        </references>
      </pivotArea>
    </format>
    <format dxfId="1419">
      <pivotArea field="2" dataOnly="0" labelOnly="1" grandCol="1" outline="0" axis="axisCol" fieldPosition="0">
        <references count="1">
          <reference field="4294967294" count="1" selected="0">
            <x v="0"/>
          </reference>
        </references>
      </pivotArea>
    </format>
    <format dxfId="1418">
      <pivotArea field="2" dataOnly="0" labelOnly="1" grandCol="1" outline="0" axis="axisCol" fieldPosition="0">
        <references count="1">
          <reference field="4294967294" count="1" selected="0">
            <x v="1"/>
          </reference>
        </references>
      </pivotArea>
    </format>
    <format dxfId="1417">
      <pivotArea dataOnly="0" labelOnly="1" outline="0" fieldPosition="0">
        <references count="2">
          <reference field="4294967294" count="2">
            <x v="0"/>
            <x v="1"/>
          </reference>
          <reference field="2" count="1" selected="0">
            <x v="0"/>
          </reference>
        </references>
      </pivotArea>
    </format>
    <format dxfId="1416">
      <pivotArea dataOnly="0" labelOnly="1" outline="0" fieldPosition="0">
        <references count="2">
          <reference field="4294967294" count="2">
            <x v="0"/>
            <x v="1"/>
          </reference>
          <reference field="2" count="1" selected="0">
            <x v="1"/>
          </reference>
        </references>
      </pivotArea>
    </format>
    <format dxfId="1415">
      <pivotArea dataOnly="0" labelOnly="1" outline="0" fieldPosition="0">
        <references count="2">
          <reference field="4294967294" count="2">
            <x v="0"/>
            <x v="1"/>
          </reference>
          <reference field="2" count="1" selected="0">
            <x v="2"/>
          </reference>
        </references>
      </pivotArea>
    </format>
    <format dxfId="1414">
      <pivotArea dataOnly="0" labelOnly="1" outline="0" fieldPosition="0">
        <references count="2">
          <reference field="4294967294" count="2">
            <x v="0"/>
            <x v="1"/>
          </reference>
          <reference field="2" count="1" selected="0">
            <x v="3"/>
          </reference>
        </references>
      </pivotArea>
    </format>
    <format dxfId="1413">
      <pivotArea dataOnly="0" labelOnly="1" outline="0" fieldPosition="0">
        <references count="2">
          <reference field="4294967294" count="2">
            <x v="0"/>
            <x v="1"/>
          </reference>
          <reference field="2" count="1" selected="0">
            <x v="4"/>
          </reference>
        </references>
      </pivotArea>
    </format>
    <format dxfId="1412">
      <pivotArea dataOnly="0" labelOnly="1" outline="0" fieldPosition="0">
        <references count="2">
          <reference field="4294967294" count="2">
            <x v="0"/>
            <x v="1"/>
          </reference>
          <reference field="2" count="1" selected="0">
            <x v="5"/>
          </reference>
        </references>
      </pivotArea>
    </format>
    <format dxfId="1411">
      <pivotArea dataOnly="0" labelOnly="1" outline="0" fieldPosition="0">
        <references count="2">
          <reference field="4294967294" count="2">
            <x v="0"/>
            <x v="1"/>
          </reference>
          <reference field="2" count="1" selected="0">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7"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P5:S11"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x="1"/>
        <item h="1" x="2"/>
        <item h="1" x="0"/>
        <item h="1" x="5"/>
        <item h="1" m="1" x="6"/>
        <item h="1" x="3"/>
        <item h="1"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6">
    <i>
      <x v="3"/>
    </i>
    <i>
      <x v="5"/>
    </i>
    <i>
      <x v="6"/>
    </i>
    <i>
      <x v="14"/>
    </i>
    <i>
      <x v="15"/>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3" numFmtId="171"/>
  </dataFields>
  <formats count="2">
    <format dxfId="303">
      <pivotArea outline="0" collapsedLevelsAreSubtotals="1" fieldPosition="0">
        <references count="1">
          <reference field="4294967294" count="1" selected="0">
            <x v="2"/>
          </reference>
        </references>
      </pivotArea>
    </format>
    <format dxfId="302">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Dinámica6"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K5:N28" firstHeaderRow="0" firstDataRow="1" firstDataCol="1" rowPageCount="2" colPageCount="1"/>
  <pivotFields count="53">
    <pivotField dataField="1" numFmtId="1" showAll="0"/>
    <pivotField showAll="0" defaultSubtotal="0"/>
    <pivotField showAll="0"/>
    <pivotField numFmtId="14" showAll="0"/>
    <pivotField showAll="0"/>
    <pivotField showAll="0"/>
    <pivotField showAll="0" defaultSubtotal="0"/>
    <pivotField showAll="0" defaultSubtotal="0"/>
    <pivotField showAll="0"/>
    <pivotField showAll="0" defaultSubtotal="0"/>
    <pivotField showAll="0"/>
    <pivotField showAll="0"/>
    <pivotField showAll="0" defaultSubtotal="0"/>
    <pivotField showAll="0"/>
    <pivotField showAll="0"/>
    <pivotField showAll="0"/>
    <pivotField showAll="0"/>
    <pivotField showAll="0" defaultSubtotal="0"/>
    <pivotField axis="axisPage" multipleItemSelectionAllowed="1" showAll="0">
      <items count="8">
        <item h="1" x="1"/>
        <item x="2"/>
        <item h="1" x="0"/>
        <item h="1" x="5"/>
        <item h="1" m="1" x="6"/>
        <item h="1" x="3"/>
        <item h="1" x="4"/>
        <item t="default"/>
      </items>
    </pivotField>
    <pivotField axis="axisRow" showAll="0">
      <items count="37">
        <item x="6"/>
        <item x="7"/>
        <item x="0"/>
        <item x="20"/>
        <item x="11"/>
        <item x="5"/>
        <item x="14"/>
        <item x="1"/>
        <item x="19"/>
        <item x="2"/>
        <item x="22"/>
        <item x="16"/>
        <item x="21"/>
        <item x="9"/>
        <item x="13"/>
        <item x="15"/>
        <item x="12"/>
        <item x="3"/>
        <item x="8"/>
        <item x="17"/>
        <item x="4"/>
        <item x="18"/>
        <item x="23"/>
        <item x="24"/>
        <item x="25"/>
        <item x="26"/>
        <item x="27"/>
        <item m="1" x="35"/>
        <item m="1" x="33"/>
        <item m="1" x="34"/>
        <item m="1" x="29"/>
        <item m="1" x="31"/>
        <item m="1" x="28"/>
        <item x="10"/>
        <item m="1" x="30"/>
        <item m="1" x="32"/>
        <item t="default"/>
      </items>
    </pivotField>
    <pivotField showAll="0"/>
    <pivotField showAll="0"/>
    <pivotField showAll="0"/>
    <pivotField showAll="0"/>
    <pivotField showAll="0"/>
    <pivotField axis="axisPage" multipleItemSelectionAllowed="1" showAll="0">
      <items count="5">
        <item h="1" x="0"/>
        <item x="1"/>
        <item h="1" x="2"/>
        <item h="1" m="1" x="3"/>
        <item t="default"/>
      </items>
    </pivotField>
    <pivotField showAll="0" defaultSubtotal="0"/>
    <pivotField showAll="0" defaultSubtotal="0"/>
    <pivotField showAll="0"/>
    <pivotField showAll="0" defaultSubtotal="0"/>
    <pivotField showAll="0" defaultSubtotal="0"/>
    <pivotField showAll="0"/>
    <pivotField showAll="0"/>
    <pivotField showAll="0"/>
    <pivotField showAll="0"/>
    <pivotField showAll="0"/>
    <pivotField showAll="0" defaultSubtotal="0"/>
    <pivotField showAll="0" defaultSubtotal="0"/>
    <pivotField showAll="0"/>
    <pivotField showAll="0" defaultSubtotal="0"/>
    <pivotField dataField="1" numFmtId="164"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dataField="1" numFmtId="1" showAll="0" defaultSubtotal="0"/>
  </pivotFields>
  <rowFields count="1">
    <field x="19"/>
  </rowFields>
  <rowItems count="23">
    <i>
      <x/>
    </i>
    <i>
      <x v="1"/>
    </i>
    <i>
      <x v="2"/>
    </i>
    <i>
      <x v="4"/>
    </i>
    <i>
      <x v="5"/>
    </i>
    <i>
      <x v="7"/>
    </i>
    <i>
      <x v="8"/>
    </i>
    <i>
      <x v="9"/>
    </i>
    <i>
      <x v="10"/>
    </i>
    <i>
      <x v="11"/>
    </i>
    <i>
      <x v="12"/>
    </i>
    <i>
      <x v="13"/>
    </i>
    <i>
      <x v="14"/>
    </i>
    <i>
      <x v="16"/>
    </i>
    <i>
      <x v="17"/>
    </i>
    <i>
      <x v="18"/>
    </i>
    <i>
      <x v="19"/>
    </i>
    <i>
      <x v="20"/>
    </i>
    <i>
      <x v="21"/>
    </i>
    <i>
      <x v="22"/>
    </i>
    <i>
      <x v="25"/>
    </i>
    <i>
      <x v="26"/>
    </i>
    <i t="grand">
      <x/>
    </i>
  </rowItems>
  <colFields count="1">
    <field x="-2"/>
  </colFields>
  <colItems count="3">
    <i>
      <x/>
    </i>
    <i i="1">
      <x v="1"/>
    </i>
    <i i="2">
      <x v="2"/>
    </i>
  </colItems>
  <pageFields count="2">
    <pageField fld="18" hier="-1"/>
    <pageField fld="25" hier="-1"/>
  </pageFields>
  <dataFields count="3">
    <dataField name="Cuenta de Ítem" fld="0" subtotal="count" baseField="17" baseItem="0"/>
    <dataField name="Suma de No. _x000a_de días" fld="52" baseField="0" baseItem="0"/>
    <dataField name="Suma de Valor Ahorro" fld="40" baseField="17" baseItem="0" numFmtId="171"/>
  </dataFields>
  <formats count="2">
    <format dxfId="305">
      <pivotArea outline="0" collapsedLevelsAreSubtotals="1" fieldPosition="0">
        <references count="1">
          <reference field="4294967294" count="1" selected="0">
            <x v="2"/>
          </reference>
        </references>
      </pivotArea>
    </format>
    <format dxfId="304">
      <pivotArea dataOnly="0" labelOnly="1"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5" Type="http://schemas.openxmlformats.org/officeDocument/2006/relationships/printerSettings" Target="../printerSettings/printerSettings4.bin"/><Relationship Id="rId4" Type="http://schemas.openxmlformats.org/officeDocument/2006/relationships/pivotTable" Target="../pivotTables/pivotTable1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7.xml"/><Relationship Id="rId2" Type="http://schemas.openxmlformats.org/officeDocument/2006/relationships/pivotTable" Target="../pivotTables/pivotTable16.xml"/><Relationship Id="rId1" Type="http://schemas.openxmlformats.org/officeDocument/2006/relationships/pivotTable" Target="../pivotTables/pivotTable15.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5" Type="http://schemas.openxmlformats.org/officeDocument/2006/relationships/printerSettings" Target="../printerSettings/printerSettings7.bin"/><Relationship Id="rId4" Type="http://schemas.openxmlformats.org/officeDocument/2006/relationships/pivotTable" Target="../pivotTables/pivotTable2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BG698"/>
  <sheetViews>
    <sheetView tabSelected="1" zoomScale="120" zoomScaleNormal="120" workbookViewId="0">
      <pane xSplit="1" ySplit="3" topLeftCell="B4" activePane="bottomRight" state="frozen"/>
      <selection pane="topRight" activeCell="B1" sqref="B1"/>
      <selection pane="bottomLeft" activeCell="A4" sqref="A4"/>
      <selection pane="bottomRight" activeCell="K2" sqref="K2"/>
    </sheetView>
  </sheetViews>
  <sheetFormatPr baseColWidth="10" defaultColWidth="11.42578125" defaultRowHeight="15" x14ac:dyDescent="0.25"/>
  <cols>
    <col min="1" max="1" width="1.140625" style="2" customWidth="1"/>
    <col min="2" max="2" width="8.7109375" style="3" customWidth="1"/>
    <col min="3" max="3" width="8.28515625" style="3" customWidth="1"/>
    <col min="4" max="4" width="9.7109375" style="3" customWidth="1"/>
    <col min="5" max="5" width="11.85546875" style="3" customWidth="1"/>
    <col min="6" max="6" width="8.5703125" style="3" customWidth="1"/>
    <col min="7" max="7" width="10.85546875" style="3" customWidth="1"/>
    <col min="8" max="8" width="25.28515625" style="3" customWidth="1"/>
    <col min="9" max="9" width="21.28515625" style="5" customWidth="1"/>
    <col min="10" max="10" width="36.7109375" style="3" customWidth="1"/>
    <col min="11" max="11" width="18.28515625" style="301" customWidth="1"/>
    <col min="12" max="12" width="17.85546875" style="3" customWidth="1"/>
    <col min="13" max="13" width="20.85546875" style="3" customWidth="1"/>
    <col min="14" max="14" width="12.7109375" style="3" customWidth="1"/>
    <col min="15" max="15" width="30.5703125" style="212" customWidth="1"/>
    <col min="16" max="16" width="18.5703125" style="44" customWidth="1"/>
    <col min="17" max="17" width="13.7109375" style="47" customWidth="1"/>
    <col min="18" max="18" width="18.28515625" style="44" customWidth="1"/>
    <col min="19" max="19" width="13.42578125" style="44" customWidth="1"/>
    <col min="20" max="20" width="12.140625" style="3" customWidth="1"/>
    <col min="21" max="21" width="14.28515625" style="3" customWidth="1"/>
    <col min="22" max="22" width="12.42578125" style="2" customWidth="1"/>
    <col min="23" max="25" width="11.85546875" style="2" customWidth="1"/>
    <col min="26" max="26" width="20.28515625" style="3" customWidth="1"/>
    <col min="27" max="27" width="15.5703125" style="3" customWidth="1"/>
    <col min="28" max="28" width="26.7109375" style="90" customWidth="1"/>
    <col min="29" max="29" width="35.7109375" style="2" customWidth="1"/>
    <col min="30" max="30" width="12.28515625" style="3" customWidth="1"/>
    <col min="31" max="31" width="10.28515625" style="2" customWidth="1"/>
    <col min="32" max="33" width="11.85546875" style="2" customWidth="1"/>
    <col min="34" max="34" width="12.140625" style="2" customWidth="1"/>
    <col min="35" max="35" width="13.28515625" style="3" customWidth="1"/>
    <col min="36" max="36" width="18.28515625" style="3" customWidth="1"/>
    <col min="37" max="37" width="18.85546875" style="354" customWidth="1"/>
    <col min="38" max="38" width="12.5703125" style="3" customWidth="1"/>
    <col min="39" max="39" width="19.140625" style="125" customWidth="1"/>
    <col min="40" max="40" width="22.7109375" style="3" customWidth="1"/>
    <col min="41" max="41" width="20.5703125" style="3" customWidth="1"/>
    <col min="42" max="42" width="15.28515625" style="182" customWidth="1"/>
    <col min="43" max="43" width="11.42578125" style="2" customWidth="1"/>
    <col min="44" max="44" width="18.42578125" style="2" customWidth="1"/>
    <col min="45" max="45" width="18" style="3" customWidth="1"/>
    <col min="46" max="46" width="21.42578125" style="2" customWidth="1"/>
    <col min="47" max="47" width="11.42578125" style="2" customWidth="1"/>
    <col min="48" max="48" width="16.85546875" style="90" customWidth="1"/>
    <col min="49" max="49" width="13.28515625" style="90" customWidth="1"/>
    <col min="50" max="50" width="18.5703125" style="90" customWidth="1"/>
    <col min="51" max="51" width="10.28515625" style="2" customWidth="1"/>
    <col min="52" max="52" width="11.42578125" style="2" customWidth="1"/>
    <col min="53" max="53" width="12.28515625" style="2" customWidth="1"/>
    <col min="54" max="54" width="9.28515625" style="2" customWidth="1"/>
    <col min="55" max="55" width="9.5703125" style="76" customWidth="1"/>
    <col min="56" max="56" width="11.42578125" style="3" customWidth="1"/>
    <col min="57" max="57" width="96.7109375" style="95" customWidth="1"/>
    <col min="58" max="58" width="87.28515625" style="2" customWidth="1"/>
    <col min="59" max="67" width="11.42578125" style="2" customWidth="1"/>
    <col min="68" max="16384" width="11.42578125" style="2"/>
  </cols>
  <sheetData>
    <row r="1" spans="2:58" ht="23.25" x14ac:dyDescent="0.25">
      <c r="B1" s="395" t="s">
        <v>3165</v>
      </c>
      <c r="C1" s="395"/>
      <c r="D1" s="396"/>
      <c r="E1" s="395"/>
      <c r="F1" s="395"/>
      <c r="G1" s="395"/>
      <c r="H1" s="395"/>
      <c r="I1" s="395"/>
      <c r="J1" s="396"/>
      <c r="K1" s="397"/>
    </row>
    <row r="2" spans="2:58" ht="24.6" customHeight="1" x14ac:dyDescent="0.25">
      <c r="C2" s="394" t="s">
        <v>0</v>
      </c>
      <c r="D2" s="394"/>
      <c r="E2" s="72">
        <f ca="1">+TODAY()</f>
        <v>45320</v>
      </c>
      <c r="F2" s="4"/>
      <c r="G2" s="4"/>
      <c r="K2" s="299"/>
      <c r="P2" s="43"/>
      <c r="R2" s="43"/>
      <c r="S2" s="43"/>
      <c r="V2" s="3"/>
      <c r="W2" s="3"/>
      <c r="X2" s="3"/>
      <c r="Y2" s="3"/>
      <c r="AB2" s="212"/>
      <c r="AC2" s="3"/>
      <c r="AE2" s="3"/>
      <c r="AF2" s="3"/>
      <c r="AG2" s="3"/>
      <c r="AH2" s="3"/>
      <c r="AK2" s="3"/>
    </row>
    <row r="3" spans="2:58" s="73" customFormat="1" ht="60" x14ac:dyDescent="0.25">
      <c r="B3" s="103" t="s">
        <v>1</v>
      </c>
      <c r="C3" s="104" t="s">
        <v>96</v>
      </c>
      <c r="D3" s="104" t="s">
        <v>2</v>
      </c>
      <c r="E3" s="104" t="s">
        <v>3</v>
      </c>
      <c r="F3" s="105" t="s">
        <v>4</v>
      </c>
      <c r="G3" s="106" t="s">
        <v>5</v>
      </c>
      <c r="H3" s="105" t="s">
        <v>97</v>
      </c>
      <c r="I3" s="105" t="s">
        <v>3164</v>
      </c>
      <c r="J3" s="105" t="s">
        <v>6</v>
      </c>
      <c r="K3" s="300" t="s">
        <v>85</v>
      </c>
      <c r="L3" s="106" t="s">
        <v>7</v>
      </c>
      <c r="M3" s="104" t="s">
        <v>8</v>
      </c>
      <c r="N3" s="106" t="s">
        <v>4007</v>
      </c>
      <c r="O3" s="315" t="s">
        <v>9</v>
      </c>
      <c r="P3" s="107" t="s">
        <v>10</v>
      </c>
      <c r="Q3" s="106" t="s">
        <v>11</v>
      </c>
      <c r="R3" s="107" t="s">
        <v>12</v>
      </c>
      <c r="S3" s="107" t="s">
        <v>1759</v>
      </c>
      <c r="T3" s="104" t="s">
        <v>13</v>
      </c>
      <c r="U3" s="104" t="s">
        <v>14</v>
      </c>
      <c r="V3" s="106" t="s">
        <v>15</v>
      </c>
      <c r="W3" s="106" t="s">
        <v>16</v>
      </c>
      <c r="X3" s="106" t="s">
        <v>17</v>
      </c>
      <c r="Y3" s="106" t="s">
        <v>41</v>
      </c>
      <c r="Z3" s="106" t="s">
        <v>18</v>
      </c>
      <c r="AA3" s="104" t="s">
        <v>19</v>
      </c>
      <c r="AB3" s="108" t="s">
        <v>138</v>
      </c>
      <c r="AC3" s="103" t="s">
        <v>2075</v>
      </c>
      <c r="AD3" s="105" t="s">
        <v>20</v>
      </c>
      <c r="AE3" s="104" t="s">
        <v>21</v>
      </c>
      <c r="AF3" s="106" t="s">
        <v>1760</v>
      </c>
      <c r="AG3" s="106" t="s">
        <v>22</v>
      </c>
      <c r="AH3" s="106" t="s">
        <v>23</v>
      </c>
      <c r="AI3" s="104" t="s">
        <v>24</v>
      </c>
      <c r="AJ3" s="106" t="s">
        <v>25</v>
      </c>
      <c r="AK3" s="104" t="s">
        <v>26</v>
      </c>
      <c r="AL3" s="103" t="s">
        <v>139</v>
      </c>
      <c r="AM3" s="126" t="s">
        <v>86</v>
      </c>
      <c r="AN3" s="105" t="s">
        <v>27</v>
      </c>
      <c r="AO3" s="103" t="s">
        <v>2076</v>
      </c>
      <c r="AP3" s="126" t="s">
        <v>68</v>
      </c>
      <c r="AQ3" s="103" t="s">
        <v>977</v>
      </c>
      <c r="AR3" s="103" t="s">
        <v>978</v>
      </c>
      <c r="AS3" s="103" t="s">
        <v>140</v>
      </c>
      <c r="AT3" s="103" t="s">
        <v>141</v>
      </c>
      <c r="AU3" s="103" t="s">
        <v>979</v>
      </c>
      <c r="AV3" s="108" t="s">
        <v>144</v>
      </c>
      <c r="AW3" s="108" t="s">
        <v>142</v>
      </c>
      <c r="AX3" s="108" t="s">
        <v>2376</v>
      </c>
      <c r="AY3" s="104" t="s">
        <v>143</v>
      </c>
      <c r="AZ3" s="104" t="s">
        <v>98</v>
      </c>
      <c r="BA3" s="104" t="s">
        <v>99</v>
      </c>
      <c r="BB3" s="104" t="s">
        <v>100</v>
      </c>
      <c r="BC3" s="77"/>
      <c r="BD3" s="398" t="s">
        <v>101</v>
      </c>
      <c r="BE3" s="399"/>
    </row>
    <row r="4" spans="2:58" ht="43.9" customHeight="1" x14ac:dyDescent="0.25">
      <c r="B4" s="219">
        <v>1</v>
      </c>
      <c r="C4" s="220" t="s">
        <v>145</v>
      </c>
      <c r="D4" s="221" t="s">
        <v>33</v>
      </c>
      <c r="E4" s="222">
        <v>44385</v>
      </c>
      <c r="F4" s="223">
        <v>2021</v>
      </c>
      <c r="G4" s="224" t="s">
        <v>146</v>
      </c>
      <c r="H4" s="225" t="s">
        <v>147</v>
      </c>
      <c r="I4" s="226" t="s">
        <v>146</v>
      </c>
      <c r="J4" s="221" t="s">
        <v>148</v>
      </c>
      <c r="K4" s="227" t="s">
        <v>146</v>
      </c>
      <c r="L4" s="228" t="s">
        <v>149</v>
      </c>
      <c r="M4" s="228" t="s">
        <v>150</v>
      </c>
      <c r="N4" s="228"/>
      <c r="O4" s="225" t="s">
        <v>146</v>
      </c>
      <c r="P4" s="229" t="s">
        <v>146</v>
      </c>
      <c r="Q4" s="221" t="s">
        <v>146</v>
      </c>
      <c r="R4" s="221" t="s">
        <v>146</v>
      </c>
      <c r="S4" s="221" t="s">
        <v>146</v>
      </c>
      <c r="T4" s="230" t="s">
        <v>40</v>
      </c>
      <c r="U4" s="221" t="s">
        <v>151</v>
      </c>
      <c r="V4" s="231">
        <v>44392</v>
      </c>
      <c r="W4" s="232" t="e">
        <f>+$D$4-E4</f>
        <v>#VALUE!</v>
      </c>
      <c r="X4" s="232" t="e">
        <f>$D$4-V4</f>
        <v>#VALUE!</v>
      </c>
      <c r="Y4" s="221" t="s">
        <v>1300</v>
      </c>
      <c r="Z4" s="232" t="s">
        <v>152</v>
      </c>
      <c r="AA4" s="232" t="s">
        <v>153</v>
      </c>
      <c r="AB4" s="221" t="s">
        <v>154</v>
      </c>
      <c r="AC4" s="221"/>
      <c r="AD4" s="221"/>
      <c r="AE4" s="233" t="str">
        <f>+IF(AD4="","",TEXT(AD4,"mmm"))</f>
        <v/>
      </c>
      <c r="AF4" s="233"/>
      <c r="AG4" s="232">
        <f>+AD4-E4</f>
        <v>-44385</v>
      </c>
      <c r="AH4" s="234">
        <f>+AD4-V4</f>
        <v>-44392</v>
      </c>
      <c r="AI4" s="232" t="s">
        <v>146</v>
      </c>
      <c r="AJ4" s="232" t="s">
        <v>155</v>
      </c>
      <c r="AK4" s="235"/>
      <c r="AL4" s="235"/>
      <c r="AM4" s="235"/>
      <c r="AN4" s="221"/>
      <c r="AO4" s="221"/>
      <c r="AP4" s="221"/>
      <c r="AQ4" s="221"/>
      <c r="AR4" s="236"/>
      <c r="AS4" s="237" t="s">
        <v>146</v>
      </c>
      <c r="AT4" s="237" t="s">
        <v>146</v>
      </c>
      <c r="AU4" s="237"/>
      <c r="AV4" s="228"/>
      <c r="AW4" s="228"/>
      <c r="AX4" s="238"/>
      <c r="AY4" s="244">
        <v>0</v>
      </c>
      <c r="AZ4" s="239">
        <f t="shared" ref="AZ4:AZ18" si="0">IF(D4="GUENAA",1,IF(D4="GUENE",1,IF(D4="GUENT",1,0)))</f>
        <v>1</v>
      </c>
      <c r="BA4" s="239">
        <f t="shared" ref="BA4:BA18" si="1">IF(T4="Invitación Privada",1,IF(T4="Invitación Pública",2,0))</f>
        <v>2</v>
      </c>
      <c r="BB4" s="242">
        <f>IF(AA4="CONTRATADO",IF(BA4=1,NETWORKDAYS.INTL(E4,AD4,1,[1]FESTIVOS!$B$3:$B$10)-1,AD4-E4))-BD4</f>
        <v>0</v>
      </c>
      <c r="BF4" s="160"/>
    </row>
    <row r="5" spans="2:58" ht="43.9" customHeight="1" x14ac:dyDescent="0.25">
      <c r="B5" s="100">
        <f t="shared" ref="B5:B18" si="2">+B4+1</f>
        <v>2</v>
      </c>
      <c r="C5" s="131" t="s">
        <v>156</v>
      </c>
      <c r="D5" s="99" t="s">
        <v>32</v>
      </c>
      <c r="E5" s="373">
        <v>44468</v>
      </c>
      <c r="F5" s="99">
        <v>2021</v>
      </c>
      <c r="G5" s="99" t="s">
        <v>157</v>
      </c>
      <c r="H5" s="99" t="s">
        <v>158</v>
      </c>
      <c r="I5" s="132" t="s">
        <v>146</v>
      </c>
      <c r="J5" s="133" t="s">
        <v>159</v>
      </c>
      <c r="K5" s="210">
        <v>216455020493</v>
      </c>
      <c r="L5" s="96" t="s">
        <v>3391</v>
      </c>
      <c r="M5" s="96" t="s">
        <v>160</v>
      </c>
      <c r="N5" s="96"/>
      <c r="O5" s="99" t="s">
        <v>146</v>
      </c>
      <c r="P5" s="374" t="s">
        <v>146</v>
      </c>
      <c r="Q5" s="111">
        <v>202100035</v>
      </c>
      <c r="R5" s="111" t="s">
        <v>146</v>
      </c>
      <c r="S5" s="111" t="s">
        <v>1560</v>
      </c>
      <c r="T5" s="111" t="s">
        <v>40</v>
      </c>
      <c r="U5" s="111" t="s">
        <v>187</v>
      </c>
      <c r="V5" s="375">
        <v>44469</v>
      </c>
      <c r="W5" s="170">
        <v>350</v>
      </c>
      <c r="X5" s="170">
        <v>349</v>
      </c>
      <c r="Y5" s="111" t="s">
        <v>1317</v>
      </c>
      <c r="Z5" s="170" t="s">
        <v>168</v>
      </c>
      <c r="AA5" s="111" t="s">
        <v>153</v>
      </c>
      <c r="AB5" s="111" t="s">
        <v>3392</v>
      </c>
      <c r="AC5" s="111"/>
      <c r="AD5" s="376">
        <v>44797</v>
      </c>
      <c r="AE5" s="183" t="s">
        <v>4438</v>
      </c>
      <c r="AF5" s="171"/>
      <c r="AG5" s="170">
        <v>329</v>
      </c>
      <c r="AH5" s="144">
        <v>328</v>
      </c>
      <c r="AI5" s="170" t="s">
        <v>146</v>
      </c>
      <c r="AJ5" s="96" t="s">
        <v>155</v>
      </c>
      <c r="AK5" s="377" t="s">
        <v>3394</v>
      </c>
      <c r="AL5" s="376">
        <v>44763</v>
      </c>
      <c r="AM5" s="214">
        <v>215879358926</v>
      </c>
      <c r="AN5" s="111" t="s">
        <v>3395</v>
      </c>
      <c r="AO5" s="111"/>
      <c r="AP5" s="378">
        <v>575661567</v>
      </c>
      <c r="AQ5" s="111"/>
      <c r="AR5" s="379"/>
      <c r="AS5" s="96"/>
      <c r="AT5" s="96"/>
      <c r="AU5" s="96"/>
      <c r="AV5" s="96" t="s">
        <v>174</v>
      </c>
      <c r="AW5" s="96" t="s">
        <v>175</v>
      </c>
      <c r="AX5" s="138"/>
      <c r="AY5" s="167">
        <f t="shared" ref="AY5:AY14" si="3">+AP5/K5</f>
        <v>2.6594974128521841E-3</v>
      </c>
      <c r="AZ5" s="139">
        <f t="shared" si="0"/>
        <v>1</v>
      </c>
      <c r="BA5" s="139">
        <f t="shared" si="1"/>
        <v>2</v>
      </c>
      <c r="BB5" s="132">
        <f>IF(AA5="CONTRATADO",IF(BA5=1,NETWORKDAYS.INTL(E5,AD5,1,[1]FESTIVOS!$B$3:$B$10)-1,AD5-E5))-BD5</f>
        <v>-143</v>
      </c>
      <c r="BC5" s="156"/>
      <c r="BD5" s="162">
        <f>26+76+10+21+10</f>
        <v>143</v>
      </c>
      <c r="BE5" s="163" t="s">
        <v>3518</v>
      </c>
      <c r="BF5" s="156"/>
    </row>
    <row r="6" spans="2:58" ht="43.9" customHeight="1" x14ac:dyDescent="0.25">
      <c r="B6" s="100">
        <f t="shared" si="2"/>
        <v>3</v>
      </c>
      <c r="C6" s="131" t="s">
        <v>162</v>
      </c>
      <c r="D6" s="111" t="s">
        <v>32</v>
      </c>
      <c r="E6" s="137">
        <v>44491</v>
      </c>
      <c r="F6" s="380">
        <v>2021</v>
      </c>
      <c r="G6" s="99" t="s">
        <v>163</v>
      </c>
      <c r="H6" s="99" t="s">
        <v>164</v>
      </c>
      <c r="I6" s="99" t="s">
        <v>146</v>
      </c>
      <c r="J6" s="133" t="s">
        <v>165</v>
      </c>
      <c r="K6" s="210">
        <v>75000000000</v>
      </c>
      <c r="L6" s="96" t="s">
        <v>166</v>
      </c>
      <c r="M6" s="96" t="s">
        <v>167</v>
      </c>
      <c r="N6" s="96"/>
      <c r="O6" s="148"/>
      <c r="P6" s="211"/>
      <c r="Q6" s="111"/>
      <c r="R6" s="111"/>
      <c r="S6" s="111"/>
      <c r="T6" s="111" t="s">
        <v>40</v>
      </c>
      <c r="U6" s="111" t="s">
        <v>161</v>
      </c>
      <c r="V6" s="376">
        <v>44494</v>
      </c>
      <c r="W6" s="166"/>
      <c r="X6" s="166"/>
      <c r="Y6" s="111"/>
      <c r="Z6" s="166" t="s">
        <v>168</v>
      </c>
      <c r="AA6" s="166" t="s">
        <v>169</v>
      </c>
      <c r="AB6" s="111" t="s">
        <v>170</v>
      </c>
      <c r="AC6" s="111"/>
      <c r="AD6" s="376">
        <v>44588</v>
      </c>
      <c r="AE6" s="362" t="s">
        <v>4431</v>
      </c>
      <c r="AF6" s="98"/>
      <c r="AG6" s="166">
        <f t="shared" ref="AG6:AG18" si="4">+AD6-E6</f>
        <v>97</v>
      </c>
      <c r="AH6" s="166">
        <f t="shared" ref="AH6:AH18" si="5">+AD6-V6</f>
        <v>94</v>
      </c>
      <c r="AI6" s="166" t="s">
        <v>146</v>
      </c>
      <c r="AJ6" s="96" t="s">
        <v>171</v>
      </c>
      <c r="AK6" s="381" t="s">
        <v>172</v>
      </c>
      <c r="AL6" s="376">
        <v>44575</v>
      </c>
      <c r="AM6" s="214">
        <v>74954422758</v>
      </c>
      <c r="AN6" s="111" t="s">
        <v>173</v>
      </c>
      <c r="AO6" s="111"/>
      <c r="AP6" s="181">
        <f>+K6-AM6</f>
        <v>45577242</v>
      </c>
      <c r="AQ6" s="111"/>
      <c r="AR6" s="379"/>
      <c r="AS6" s="99" t="s">
        <v>146</v>
      </c>
      <c r="AT6" s="99" t="s">
        <v>146</v>
      </c>
      <c r="AU6" s="99"/>
      <c r="AV6" s="96" t="s">
        <v>174</v>
      </c>
      <c r="AW6" s="96" t="s">
        <v>175</v>
      </c>
      <c r="AX6" s="96"/>
      <c r="AY6" s="167">
        <f t="shared" si="3"/>
        <v>6.0769655999999995E-4</v>
      </c>
      <c r="AZ6" s="139">
        <f t="shared" si="0"/>
        <v>1</v>
      </c>
      <c r="BA6" s="139">
        <f t="shared" si="1"/>
        <v>2</v>
      </c>
      <c r="BB6" s="132">
        <f>IF(AA6="CONTRATADO",IF(BA6=1,NETWORKDAYS.INTL(E6,AD6,1,[1]FESTIVOS!$B$3:$B$10)-1,AD6-E6))-BD6</f>
        <v>97</v>
      </c>
      <c r="BC6" s="157"/>
      <c r="BD6" s="162">
        <v>0</v>
      </c>
      <c r="BE6" s="382" t="s">
        <v>2052</v>
      </c>
      <c r="BF6" s="161" t="str">
        <f>+AB6</f>
        <v>2 de noviembre en elaboracion de fpa y cc
9 de noviembre en elaboracion de la fpa y cc
17 DE DICIEMBRE EN EVALAUCION DE SUBSANABLES
24 DE ENERO EN APROBACION DE POLIZAS DESDE EL 20 DE ENERO.</v>
      </c>
    </row>
    <row r="7" spans="2:58" ht="43.9" customHeight="1" x14ac:dyDescent="0.25">
      <c r="B7" s="100">
        <f t="shared" si="2"/>
        <v>4</v>
      </c>
      <c r="C7" s="131" t="s">
        <v>176</v>
      </c>
      <c r="D7" s="111" t="s">
        <v>32</v>
      </c>
      <c r="E7" s="137">
        <v>44495</v>
      </c>
      <c r="F7" s="380">
        <v>2021</v>
      </c>
      <c r="G7" s="99" t="s">
        <v>177</v>
      </c>
      <c r="H7" s="99" t="s">
        <v>178</v>
      </c>
      <c r="I7" s="164" t="s">
        <v>146</v>
      </c>
      <c r="J7" s="133" t="s">
        <v>179</v>
      </c>
      <c r="K7" s="340">
        <v>24000000000</v>
      </c>
      <c r="L7" s="96" t="s">
        <v>166</v>
      </c>
      <c r="M7" s="96" t="s">
        <v>180</v>
      </c>
      <c r="N7" s="96"/>
      <c r="O7" s="99">
        <v>202200111</v>
      </c>
      <c r="P7" s="383">
        <v>12000000000</v>
      </c>
      <c r="Q7" s="111">
        <v>202100097</v>
      </c>
      <c r="R7" s="384">
        <v>24000000000</v>
      </c>
      <c r="S7" s="111" t="s">
        <v>1560</v>
      </c>
      <c r="T7" s="111" t="s">
        <v>40</v>
      </c>
      <c r="U7" s="111" t="s">
        <v>161</v>
      </c>
      <c r="V7" s="376">
        <v>44496</v>
      </c>
      <c r="W7" s="166" t="e">
        <f>+#REF!-E7</f>
        <v>#REF!</v>
      </c>
      <c r="X7" s="166" t="e">
        <f>#REF!-V7</f>
        <v>#REF!</v>
      </c>
      <c r="Y7" s="111" t="s">
        <v>1317</v>
      </c>
      <c r="Z7" s="166" t="s">
        <v>168</v>
      </c>
      <c r="AA7" s="166" t="s">
        <v>169</v>
      </c>
      <c r="AB7" s="111" t="s">
        <v>1751</v>
      </c>
      <c r="AC7" s="111"/>
      <c r="AD7" s="376">
        <v>44658</v>
      </c>
      <c r="AE7" s="362" t="s">
        <v>4434</v>
      </c>
      <c r="AF7" s="98"/>
      <c r="AG7" s="166">
        <f t="shared" si="4"/>
        <v>163</v>
      </c>
      <c r="AH7" s="166">
        <f t="shared" si="5"/>
        <v>162</v>
      </c>
      <c r="AI7" s="166" t="s">
        <v>146</v>
      </c>
      <c r="AJ7" s="96" t="s">
        <v>155</v>
      </c>
      <c r="AK7" s="381" t="s">
        <v>1752</v>
      </c>
      <c r="AL7" s="376">
        <v>44658</v>
      </c>
      <c r="AM7" s="214">
        <v>23666032488</v>
      </c>
      <c r="AN7" s="111" t="s">
        <v>1753</v>
      </c>
      <c r="AO7" s="111"/>
      <c r="AP7" s="181">
        <f>+K7-AM7</f>
        <v>333967512</v>
      </c>
      <c r="AQ7" s="111"/>
      <c r="AR7" s="379"/>
      <c r="AS7" s="99" t="s">
        <v>146</v>
      </c>
      <c r="AT7" s="99" t="s">
        <v>146</v>
      </c>
      <c r="AU7" s="99"/>
      <c r="AV7" s="96" t="s">
        <v>174</v>
      </c>
      <c r="AW7" s="96" t="s">
        <v>175</v>
      </c>
      <c r="AX7" s="96"/>
      <c r="AY7" s="167">
        <f t="shared" si="3"/>
        <v>1.3915313E-2</v>
      </c>
      <c r="AZ7" s="139">
        <f t="shared" si="0"/>
        <v>1</v>
      </c>
      <c r="BA7" s="139">
        <f t="shared" si="1"/>
        <v>2</v>
      </c>
      <c r="BB7" s="132">
        <f>IF(AA7="CONTRATADO",IF(BA7=1,NETWORKDAYS.INTL(E7,AD7,1,[1]FESTIVOS!$B$3:$B$10)-1,AD7-E7))-BD7</f>
        <v>101</v>
      </c>
      <c r="BC7" s="157"/>
      <c r="BD7" s="162">
        <v>62</v>
      </c>
      <c r="BE7" s="385" t="s">
        <v>1768</v>
      </c>
      <c r="BF7" s="161" t="str">
        <f>+AB7</f>
        <v>2 de noviembre en elaboracion de fpa y cc
9 de noviembre en elaboracion de la fpa y cc
17 DE DICIEMBRE EN EVALUACION SOBRE 1
18 DE ENERO SE AMPLIA LA SUSPENCION HASTA EL 28 DE FEBRERO
23 de marzo en rp en polizas
31 DE MARZO A LA ESPERA DE LAS POLIZAS POR PARTE DEL PROVEEDOR
7 DE ABRIL ENTREGADO AL AREA</v>
      </c>
    </row>
    <row r="8" spans="2:58" ht="43.9" customHeight="1" x14ac:dyDescent="0.25">
      <c r="B8" s="100">
        <f t="shared" si="2"/>
        <v>5</v>
      </c>
      <c r="C8" s="131" t="s">
        <v>181</v>
      </c>
      <c r="D8" s="111" t="s">
        <v>32</v>
      </c>
      <c r="E8" s="137">
        <v>44496</v>
      </c>
      <c r="F8" s="380">
        <v>2021</v>
      </c>
      <c r="G8" s="99" t="s">
        <v>182</v>
      </c>
      <c r="H8" s="99" t="s">
        <v>183</v>
      </c>
      <c r="I8" s="132" t="s">
        <v>146</v>
      </c>
      <c r="J8" s="133" t="s">
        <v>184</v>
      </c>
      <c r="K8" s="340">
        <v>12106938145</v>
      </c>
      <c r="L8" s="96" t="s">
        <v>1754</v>
      </c>
      <c r="M8" s="96" t="s">
        <v>186</v>
      </c>
      <c r="N8" s="96"/>
      <c r="O8" s="99">
        <v>202201349</v>
      </c>
      <c r="P8" s="381">
        <v>12106938145</v>
      </c>
      <c r="Q8" s="99" t="s">
        <v>146</v>
      </c>
      <c r="R8" s="99" t="s">
        <v>146</v>
      </c>
      <c r="S8" s="111" t="s">
        <v>1560</v>
      </c>
      <c r="T8" s="111" t="s">
        <v>40</v>
      </c>
      <c r="U8" s="111" t="s">
        <v>187</v>
      </c>
      <c r="V8" s="376">
        <v>44497</v>
      </c>
      <c r="W8" s="166" t="e">
        <f>+#REF!-E8</f>
        <v>#REF!</v>
      </c>
      <c r="X8" s="166" t="e">
        <f>#REF!-V8</f>
        <v>#REF!</v>
      </c>
      <c r="Y8" s="111" t="s">
        <v>1755</v>
      </c>
      <c r="Z8" s="166" t="s">
        <v>168</v>
      </c>
      <c r="AA8" s="166" t="s">
        <v>169</v>
      </c>
      <c r="AB8" s="111" t="s">
        <v>1756</v>
      </c>
      <c r="AC8" s="111"/>
      <c r="AD8" s="376">
        <v>44669</v>
      </c>
      <c r="AE8" s="362" t="s">
        <v>4434</v>
      </c>
      <c r="AF8" s="98"/>
      <c r="AG8" s="166">
        <f t="shared" si="4"/>
        <v>173</v>
      </c>
      <c r="AH8" s="166">
        <f t="shared" si="5"/>
        <v>172</v>
      </c>
      <c r="AI8" s="166" t="s">
        <v>146</v>
      </c>
      <c r="AJ8" s="96" t="s">
        <v>171</v>
      </c>
      <c r="AK8" s="381" t="s">
        <v>1757</v>
      </c>
      <c r="AL8" s="376">
        <v>44643</v>
      </c>
      <c r="AM8" s="214">
        <v>12106938145</v>
      </c>
      <c r="AN8" s="111" t="s">
        <v>1758</v>
      </c>
      <c r="AO8" s="111"/>
      <c r="AP8" s="181">
        <f>+K8-AM8</f>
        <v>0</v>
      </c>
      <c r="AQ8" s="111"/>
      <c r="AR8" s="379"/>
      <c r="AS8" s="99" t="s">
        <v>146</v>
      </c>
      <c r="AT8" s="99" t="s">
        <v>146</v>
      </c>
      <c r="AU8" s="99"/>
      <c r="AV8" s="96" t="s">
        <v>174</v>
      </c>
      <c r="AW8" s="96" t="s">
        <v>175</v>
      </c>
      <c r="AX8" s="96"/>
      <c r="AY8" s="167">
        <f t="shared" si="3"/>
        <v>0</v>
      </c>
      <c r="AZ8" s="139">
        <f t="shared" si="0"/>
        <v>1</v>
      </c>
      <c r="BA8" s="139">
        <f t="shared" si="1"/>
        <v>2</v>
      </c>
      <c r="BB8" s="132">
        <f>IF(AA8="CONTRATADO",IF(BA8=1,NETWORKDAYS.INTL(E8,AD8,1,[1]FESTIVOS!$B$3:$B$10)-1,AD8-E8))-BD8</f>
        <v>90</v>
      </c>
      <c r="BC8" s="157"/>
      <c r="BD8" s="162">
        <f>17+12+20+7+18+9</f>
        <v>83</v>
      </c>
      <c r="BE8" s="382" t="s">
        <v>1769</v>
      </c>
      <c r="BF8" s="161" t="str">
        <f>+AB8</f>
        <v>2 de noviembre en elaboracion de fpa e invitacion
9 de noviembre en revision de la CC por por parte del gerente jorge
4 DE ENERO SE ADENDO PARA PBLICAR RESPUESTA OBSERVACIONES EL JUEVES 6 DE ENERO.
18 DE ENERO EN RECEPCION DE OFERTAS
21 de enero en se adendo para solicitar  subasanbles el dia 25 de enero
2 de feberero solicitud de subsanables
23 de marzo en acta de adjudicacion
31 DE MARZO ALA ESPERA DE LAS POLIZAS POR PARTE DEL PROVEEDOR 
18 de abril entregado al area</v>
      </c>
    </row>
    <row r="9" spans="2:58" ht="43.9" customHeight="1" x14ac:dyDescent="0.25">
      <c r="B9" s="219">
        <f t="shared" si="2"/>
        <v>6</v>
      </c>
      <c r="C9" s="240" t="s">
        <v>188</v>
      </c>
      <c r="D9" s="230" t="s">
        <v>32</v>
      </c>
      <c r="E9" s="222">
        <v>44496</v>
      </c>
      <c r="F9" s="223">
        <v>2021</v>
      </c>
      <c r="G9" s="241" t="s">
        <v>189</v>
      </c>
      <c r="H9" s="241" t="s">
        <v>190</v>
      </c>
      <c r="I9" s="242" t="s">
        <v>146</v>
      </c>
      <c r="J9" s="243" t="s">
        <v>191</v>
      </c>
      <c r="K9" s="339">
        <v>8071743039</v>
      </c>
      <c r="L9" s="243" t="s">
        <v>185</v>
      </c>
      <c r="M9" s="243" t="s">
        <v>192</v>
      </c>
      <c r="N9" s="243"/>
      <c r="O9" s="241" t="s">
        <v>146</v>
      </c>
      <c r="P9" s="241" t="s">
        <v>146</v>
      </c>
      <c r="Q9" s="241" t="s">
        <v>146</v>
      </c>
      <c r="R9" s="241" t="s">
        <v>146</v>
      </c>
      <c r="S9" s="230" t="s">
        <v>1560</v>
      </c>
      <c r="T9" s="230" t="s">
        <v>40</v>
      </c>
      <c r="U9" s="230" t="s">
        <v>187</v>
      </c>
      <c r="V9" s="245">
        <v>44497</v>
      </c>
      <c r="W9" s="246" t="e">
        <f>+$D$4-E9</f>
        <v>#VALUE!</v>
      </c>
      <c r="X9" s="246" t="e">
        <f>$D$4-V9</f>
        <v>#VALUE!</v>
      </c>
      <c r="Y9" s="230" t="s">
        <v>1300</v>
      </c>
      <c r="Z9" s="246" t="s">
        <v>153</v>
      </c>
      <c r="AA9" s="246" t="s">
        <v>153</v>
      </c>
      <c r="AB9" s="230" t="s">
        <v>193</v>
      </c>
      <c r="AC9" s="230"/>
      <c r="AD9" s="230"/>
      <c r="AE9" s="247" t="str">
        <f t="shared" ref="AE9:AE17" si="6">+IF(AD9="","",TEXT(AD9,"mmm"))</f>
        <v/>
      </c>
      <c r="AF9" s="247"/>
      <c r="AG9" s="246">
        <f t="shared" si="4"/>
        <v>-44496</v>
      </c>
      <c r="AH9" s="248">
        <f t="shared" si="5"/>
        <v>-44497</v>
      </c>
      <c r="AI9" s="232" t="s">
        <v>146</v>
      </c>
      <c r="AJ9" s="243" t="s">
        <v>171</v>
      </c>
      <c r="AK9" s="249"/>
      <c r="AL9" s="249"/>
      <c r="AM9" s="249"/>
      <c r="AN9" s="230"/>
      <c r="AO9" s="230"/>
      <c r="AP9" s="230"/>
      <c r="AQ9" s="230"/>
      <c r="AR9" s="250"/>
      <c r="AS9" s="241"/>
      <c r="AT9" s="241"/>
      <c r="AU9" s="241"/>
      <c r="AV9" s="243"/>
      <c r="AW9" s="243"/>
      <c r="AX9" s="238"/>
      <c r="AY9" s="244">
        <f t="shared" si="3"/>
        <v>0</v>
      </c>
      <c r="AZ9" s="239">
        <f t="shared" si="0"/>
        <v>1</v>
      </c>
      <c r="BA9" s="239">
        <f t="shared" si="1"/>
        <v>2</v>
      </c>
      <c r="BB9" s="242">
        <f>IF(AA9="CONTRATADO",IF(BA9=1,NETWORKDAYS.INTL(E9,AD9,1,[1]FESTIVOS!$B$3:$B$10)-1,AD9-E9))-BD9</f>
        <v>0</v>
      </c>
      <c r="BF9" s="160"/>
    </row>
    <row r="10" spans="2:58" ht="43.9" customHeight="1" x14ac:dyDescent="0.25">
      <c r="B10" s="100">
        <f t="shared" si="2"/>
        <v>7</v>
      </c>
      <c r="C10" s="131" t="s">
        <v>194</v>
      </c>
      <c r="D10" s="111" t="s">
        <v>32</v>
      </c>
      <c r="E10" s="137">
        <v>44496</v>
      </c>
      <c r="F10" s="380">
        <v>2021</v>
      </c>
      <c r="G10" s="99" t="s">
        <v>195</v>
      </c>
      <c r="H10" s="99" t="s">
        <v>196</v>
      </c>
      <c r="I10" s="132" t="s">
        <v>146</v>
      </c>
      <c r="J10" s="133" t="s">
        <v>197</v>
      </c>
      <c r="K10" s="340">
        <v>4898840314</v>
      </c>
      <c r="L10" s="96" t="s">
        <v>198</v>
      </c>
      <c r="M10" s="96" t="s">
        <v>199</v>
      </c>
      <c r="N10" s="96"/>
      <c r="O10" s="99" t="s">
        <v>146</v>
      </c>
      <c r="P10" s="173">
        <v>4931901032</v>
      </c>
      <c r="Q10" s="99" t="s">
        <v>146</v>
      </c>
      <c r="R10" s="99" t="s">
        <v>146</v>
      </c>
      <c r="S10" s="111" t="s">
        <v>1560</v>
      </c>
      <c r="T10" s="111" t="s">
        <v>40</v>
      </c>
      <c r="U10" s="111" t="s">
        <v>187</v>
      </c>
      <c r="V10" s="376">
        <v>44497</v>
      </c>
      <c r="W10" s="166" t="e">
        <f>+#REF!-E10</f>
        <v>#REF!</v>
      </c>
      <c r="X10" s="166" t="e">
        <f>#REF!-V10</f>
        <v>#REF!</v>
      </c>
      <c r="Y10" s="111" t="s">
        <v>1317</v>
      </c>
      <c r="Z10" s="166" t="s">
        <v>168</v>
      </c>
      <c r="AA10" s="166" t="s">
        <v>169</v>
      </c>
      <c r="AB10" s="111" t="s">
        <v>1761</v>
      </c>
      <c r="AC10" s="111"/>
      <c r="AD10" s="376">
        <v>44669</v>
      </c>
      <c r="AE10" s="362" t="s">
        <v>4434</v>
      </c>
      <c r="AF10" s="98"/>
      <c r="AG10" s="166">
        <f t="shared" si="4"/>
        <v>173</v>
      </c>
      <c r="AH10" s="166">
        <f t="shared" si="5"/>
        <v>172</v>
      </c>
      <c r="AI10" s="166" t="s">
        <v>146</v>
      </c>
      <c r="AJ10" s="96" t="s">
        <v>171</v>
      </c>
      <c r="AK10" s="381" t="s">
        <v>1762</v>
      </c>
      <c r="AL10" s="376">
        <v>44643</v>
      </c>
      <c r="AM10" s="214">
        <v>4898840314</v>
      </c>
      <c r="AN10" s="111" t="s">
        <v>1758</v>
      </c>
      <c r="AO10" s="111"/>
      <c r="AP10" s="181">
        <f>+K10-AM10</f>
        <v>0</v>
      </c>
      <c r="AQ10" s="111"/>
      <c r="AR10" s="379"/>
      <c r="AS10" s="99" t="s">
        <v>146</v>
      </c>
      <c r="AT10" s="99" t="s">
        <v>146</v>
      </c>
      <c r="AU10" s="99"/>
      <c r="AV10" s="96" t="s">
        <v>174</v>
      </c>
      <c r="AW10" s="96" t="s">
        <v>175</v>
      </c>
      <c r="AX10" s="96"/>
      <c r="AY10" s="167">
        <f t="shared" si="3"/>
        <v>0</v>
      </c>
      <c r="AZ10" s="139">
        <f t="shared" si="0"/>
        <v>1</v>
      </c>
      <c r="BA10" s="139">
        <f t="shared" si="1"/>
        <v>2</v>
      </c>
      <c r="BB10" s="132">
        <f>IF(AA10="CONTRATADO",IF(BA10=1,NETWORKDAYS.INTL(E10,AD10,1,[1]FESTIVOS!$B$3:$B$10)-1,AD10-E10))-BD10</f>
        <v>90</v>
      </c>
      <c r="BC10" s="157"/>
      <c r="BD10" s="162">
        <f>17+12+20+7+18+9</f>
        <v>83</v>
      </c>
      <c r="BE10" s="382" t="s">
        <v>1769</v>
      </c>
      <c r="BF10" s="161" t="str">
        <f>+AB10</f>
        <v>2 de noviembre en elaboracion de fpa e invitacion
9 de noviembre en revision de la CC por por parte del gerente jorge
18 DE ENERO EN RECEPCION DE OFERTAS
21 de enero en se adendo para solicitar  subasanbles el dia 25 de enero
2 de feberero solicitud de subsanables
23 de marzo en acta de adjudicacion
31 DE MARZO ALA ESPERA DE LAS POLIZAS POR PARTE DEL PROVEEDOR 
18 de abril entregado al area</v>
      </c>
    </row>
    <row r="11" spans="2:58" ht="43.9" customHeight="1" x14ac:dyDescent="0.25">
      <c r="B11" s="219">
        <f t="shared" si="2"/>
        <v>8</v>
      </c>
      <c r="C11" s="240" t="s">
        <v>200</v>
      </c>
      <c r="D11" s="230" t="s">
        <v>28</v>
      </c>
      <c r="E11" s="222">
        <v>44508</v>
      </c>
      <c r="F11" s="223">
        <v>2021</v>
      </c>
      <c r="G11" s="241" t="s">
        <v>201</v>
      </c>
      <c r="H11" s="241" t="s">
        <v>202</v>
      </c>
      <c r="I11" s="241" t="s">
        <v>146</v>
      </c>
      <c r="J11" s="243" t="s">
        <v>203</v>
      </c>
      <c r="K11" s="339">
        <v>936000000</v>
      </c>
      <c r="L11" s="243" t="s">
        <v>204</v>
      </c>
      <c r="M11" s="243" t="s">
        <v>205</v>
      </c>
      <c r="N11" s="243"/>
      <c r="O11" s="241" t="s">
        <v>146</v>
      </c>
      <c r="P11" s="241" t="s">
        <v>146</v>
      </c>
      <c r="Q11" s="251" t="s">
        <v>3166</v>
      </c>
      <c r="R11" s="241"/>
      <c r="S11" s="230" t="s">
        <v>1560</v>
      </c>
      <c r="T11" s="230" t="s">
        <v>40</v>
      </c>
      <c r="U11" s="230" t="s">
        <v>206</v>
      </c>
      <c r="V11" s="245">
        <v>44509</v>
      </c>
      <c r="W11" s="246" t="e">
        <f t="shared" ref="W11:W17" si="7">+$D$4-E11</f>
        <v>#VALUE!</v>
      </c>
      <c r="X11" s="246" t="e">
        <f t="shared" ref="X11:X17" si="8">$D$4-V11</f>
        <v>#VALUE!</v>
      </c>
      <c r="Y11" s="230" t="s">
        <v>1300</v>
      </c>
      <c r="Z11" s="246" t="s">
        <v>152</v>
      </c>
      <c r="AA11" s="246" t="s">
        <v>153</v>
      </c>
      <c r="AB11" s="230" t="s">
        <v>989</v>
      </c>
      <c r="AC11" s="230"/>
      <c r="AD11" s="230"/>
      <c r="AE11" s="247" t="str">
        <f t="shared" si="6"/>
        <v/>
      </c>
      <c r="AF11" s="247"/>
      <c r="AG11" s="246">
        <f t="shared" si="4"/>
        <v>-44508</v>
      </c>
      <c r="AH11" s="248">
        <f t="shared" si="5"/>
        <v>-44509</v>
      </c>
      <c r="AI11" s="232" t="s">
        <v>146</v>
      </c>
      <c r="AJ11" s="243" t="s">
        <v>155</v>
      </c>
      <c r="AK11" s="249"/>
      <c r="AL11" s="249"/>
      <c r="AM11" s="249"/>
      <c r="AN11" s="230"/>
      <c r="AO11" s="230"/>
      <c r="AP11" s="230"/>
      <c r="AQ11" s="230"/>
      <c r="AR11" s="250"/>
      <c r="AS11" s="241"/>
      <c r="AT11" s="241"/>
      <c r="AU11" s="241"/>
      <c r="AV11" s="243"/>
      <c r="AW11" s="243"/>
      <c r="AX11" s="238"/>
      <c r="AY11" s="244">
        <f t="shared" si="3"/>
        <v>0</v>
      </c>
      <c r="AZ11" s="239">
        <f t="shared" si="0"/>
        <v>1</v>
      </c>
      <c r="BA11" s="239">
        <f t="shared" si="1"/>
        <v>2</v>
      </c>
      <c r="BB11" s="242">
        <f>IF(AA11="CONTRATADO",IF(BA11=1,NETWORKDAYS.INTL(E11,AD11,1,[1]FESTIVOS!$B$3:$B$10)-1,AD11-E11))-BD11</f>
        <v>0</v>
      </c>
      <c r="BF11" s="160"/>
    </row>
    <row r="12" spans="2:58" ht="43.9" customHeight="1" x14ac:dyDescent="0.25">
      <c r="B12" s="219">
        <f t="shared" si="2"/>
        <v>9</v>
      </c>
      <c r="C12" s="240" t="s">
        <v>207</v>
      </c>
      <c r="D12" s="230" t="s">
        <v>28</v>
      </c>
      <c r="E12" s="222">
        <v>44518</v>
      </c>
      <c r="F12" s="223">
        <v>2021</v>
      </c>
      <c r="G12" s="241" t="s">
        <v>146</v>
      </c>
      <c r="H12" s="241" t="s">
        <v>208</v>
      </c>
      <c r="I12" s="243" t="s">
        <v>146</v>
      </c>
      <c r="J12" s="243" t="s">
        <v>209</v>
      </c>
      <c r="K12" s="339">
        <v>5463152996</v>
      </c>
      <c r="L12" s="243" t="s">
        <v>210</v>
      </c>
      <c r="M12" s="243" t="s">
        <v>211</v>
      </c>
      <c r="N12" s="243"/>
      <c r="O12" s="241" t="s">
        <v>212</v>
      </c>
      <c r="P12" s="252">
        <v>5466000000</v>
      </c>
      <c r="Q12" s="230"/>
      <c r="R12" s="253"/>
      <c r="S12" s="230" t="s">
        <v>1560</v>
      </c>
      <c r="T12" s="230" t="s">
        <v>40</v>
      </c>
      <c r="U12" s="230" t="s">
        <v>213</v>
      </c>
      <c r="V12" s="245">
        <v>44522</v>
      </c>
      <c r="W12" s="246" t="e">
        <f t="shared" si="7"/>
        <v>#VALUE!</v>
      </c>
      <c r="X12" s="246" t="e">
        <f t="shared" si="8"/>
        <v>#VALUE!</v>
      </c>
      <c r="Y12" s="230" t="s">
        <v>1300</v>
      </c>
      <c r="Z12" s="246" t="s">
        <v>214</v>
      </c>
      <c r="AA12" s="246" t="s">
        <v>215</v>
      </c>
      <c r="AB12" s="230" t="s">
        <v>216</v>
      </c>
      <c r="AC12" s="230"/>
      <c r="AD12" s="245">
        <v>44575</v>
      </c>
      <c r="AE12" s="247" t="str">
        <f t="shared" si="6"/>
        <v>ene</v>
      </c>
      <c r="AF12" s="247"/>
      <c r="AG12" s="246">
        <f t="shared" si="4"/>
        <v>57</v>
      </c>
      <c r="AH12" s="248">
        <f t="shared" si="5"/>
        <v>53</v>
      </c>
      <c r="AI12" s="232" t="s">
        <v>146</v>
      </c>
      <c r="AJ12" s="243" t="s">
        <v>155</v>
      </c>
      <c r="AK12" s="249"/>
      <c r="AL12" s="249"/>
      <c r="AM12" s="249"/>
      <c r="AN12" s="230"/>
      <c r="AO12" s="230"/>
      <c r="AP12" s="230"/>
      <c r="AQ12" s="230"/>
      <c r="AR12" s="250"/>
      <c r="AS12" s="241"/>
      <c r="AT12" s="241"/>
      <c r="AU12" s="241"/>
      <c r="AV12" s="243"/>
      <c r="AW12" s="243"/>
      <c r="AX12" s="238"/>
      <c r="AY12" s="244">
        <f t="shared" si="3"/>
        <v>0</v>
      </c>
      <c r="AZ12" s="239">
        <f t="shared" si="0"/>
        <v>1</v>
      </c>
      <c r="BA12" s="239">
        <f t="shared" si="1"/>
        <v>2</v>
      </c>
      <c r="BB12" s="242">
        <f>IF(AA12="CONTRATADO",IF(BA12=1,NETWORKDAYS.INTL(E12,AD12,1,[1]FESTIVOS!$B$3:$B$10)-1,AD12-E12))-BD12</f>
        <v>0</v>
      </c>
      <c r="BF12" s="160"/>
    </row>
    <row r="13" spans="2:58" ht="43.9" customHeight="1" x14ac:dyDescent="0.25">
      <c r="B13" s="219">
        <f t="shared" si="2"/>
        <v>10</v>
      </c>
      <c r="C13" s="240" t="s">
        <v>217</v>
      </c>
      <c r="D13" s="230" t="s">
        <v>28</v>
      </c>
      <c r="E13" s="222">
        <v>44518</v>
      </c>
      <c r="F13" s="223">
        <v>2021</v>
      </c>
      <c r="G13" s="241" t="s">
        <v>146</v>
      </c>
      <c r="H13" s="241" t="s">
        <v>218</v>
      </c>
      <c r="I13" s="243" t="s">
        <v>146</v>
      </c>
      <c r="J13" s="243" t="s">
        <v>219</v>
      </c>
      <c r="K13" s="339">
        <v>72536381728</v>
      </c>
      <c r="L13" s="243" t="s">
        <v>220</v>
      </c>
      <c r="M13" s="243" t="s">
        <v>221</v>
      </c>
      <c r="N13" s="243"/>
      <c r="O13" s="241" t="s">
        <v>146</v>
      </c>
      <c r="P13" s="252">
        <v>0</v>
      </c>
      <c r="Q13" s="230">
        <v>202100042</v>
      </c>
      <c r="R13" s="252">
        <v>72536381728</v>
      </c>
      <c r="S13" s="230" t="s">
        <v>1560</v>
      </c>
      <c r="T13" s="230" t="s">
        <v>40</v>
      </c>
      <c r="U13" s="230" t="s">
        <v>213</v>
      </c>
      <c r="V13" s="245">
        <v>44522</v>
      </c>
      <c r="W13" s="246" t="e">
        <f t="shared" si="7"/>
        <v>#VALUE!</v>
      </c>
      <c r="X13" s="246" t="e">
        <f t="shared" si="8"/>
        <v>#VALUE!</v>
      </c>
      <c r="Y13" s="230" t="s">
        <v>1300</v>
      </c>
      <c r="Z13" s="246" t="s">
        <v>214</v>
      </c>
      <c r="AA13" s="246" t="s">
        <v>215</v>
      </c>
      <c r="AB13" s="230" t="s">
        <v>222</v>
      </c>
      <c r="AC13" s="230"/>
      <c r="AD13" s="245">
        <v>44575</v>
      </c>
      <c r="AE13" s="247" t="str">
        <f t="shared" si="6"/>
        <v>ene</v>
      </c>
      <c r="AF13" s="247"/>
      <c r="AG13" s="246">
        <f t="shared" si="4"/>
        <v>57</v>
      </c>
      <c r="AH13" s="248">
        <f t="shared" si="5"/>
        <v>53</v>
      </c>
      <c r="AI13" s="232" t="s">
        <v>146</v>
      </c>
      <c r="AJ13" s="243" t="s">
        <v>155</v>
      </c>
      <c r="AK13" s="249"/>
      <c r="AL13" s="249"/>
      <c r="AM13" s="249"/>
      <c r="AN13" s="230"/>
      <c r="AO13" s="230"/>
      <c r="AP13" s="230"/>
      <c r="AQ13" s="230"/>
      <c r="AR13" s="250"/>
      <c r="AS13" s="241"/>
      <c r="AT13" s="241"/>
      <c r="AU13" s="241"/>
      <c r="AV13" s="243"/>
      <c r="AW13" s="243"/>
      <c r="AX13" s="238"/>
      <c r="AY13" s="244">
        <f t="shared" si="3"/>
        <v>0</v>
      </c>
      <c r="AZ13" s="239">
        <f t="shared" si="0"/>
        <v>1</v>
      </c>
      <c r="BA13" s="239">
        <f t="shared" si="1"/>
        <v>2</v>
      </c>
      <c r="BB13" s="242">
        <f>IF(AA13="CONTRATADO",IF(BA13=1,NETWORKDAYS.INTL(E13,AD13,1,[1]FESTIVOS!$B$3:$B$10)-1,AD13-E13))-BD13</f>
        <v>0</v>
      </c>
      <c r="BF13" s="160"/>
    </row>
    <row r="14" spans="2:58" ht="43.9" customHeight="1" x14ac:dyDescent="0.25">
      <c r="B14" s="219">
        <f t="shared" si="2"/>
        <v>11</v>
      </c>
      <c r="C14" s="240" t="s">
        <v>223</v>
      </c>
      <c r="D14" s="230" t="s">
        <v>32</v>
      </c>
      <c r="E14" s="222">
        <v>44530</v>
      </c>
      <c r="F14" s="223">
        <v>2021</v>
      </c>
      <c r="G14" s="241" t="s">
        <v>224</v>
      </c>
      <c r="H14" s="241" t="s">
        <v>225</v>
      </c>
      <c r="I14" s="241" t="s">
        <v>226</v>
      </c>
      <c r="J14" s="243" t="s">
        <v>227</v>
      </c>
      <c r="K14" s="339">
        <v>10376838023</v>
      </c>
      <c r="L14" s="243" t="s">
        <v>228</v>
      </c>
      <c r="M14" s="243" t="s">
        <v>146</v>
      </c>
      <c r="N14" s="243"/>
      <c r="O14" s="241">
        <v>202100077</v>
      </c>
      <c r="P14" s="254">
        <v>35000000</v>
      </c>
      <c r="Q14" s="241" t="s">
        <v>229</v>
      </c>
      <c r="R14" s="230" t="s">
        <v>146</v>
      </c>
      <c r="S14" s="230" t="s">
        <v>146</v>
      </c>
      <c r="T14" s="230" t="s">
        <v>230</v>
      </c>
      <c r="U14" s="230" t="s">
        <v>35</v>
      </c>
      <c r="V14" s="245">
        <v>44529</v>
      </c>
      <c r="W14" s="246" t="e">
        <f t="shared" si="7"/>
        <v>#VALUE!</v>
      </c>
      <c r="X14" s="246" t="e">
        <f t="shared" si="8"/>
        <v>#VALUE!</v>
      </c>
      <c r="Y14" s="230" t="s">
        <v>1320</v>
      </c>
      <c r="Z14" s="246" t="s">
        <v>214</v>
      </c>
      <c r="AA14" s="246" t="s">
        <v>215</v>
      </c>
      <c r="AB14" s="230" t="s">
        <v>231</v>
      </c>
      <c r="AC14" s="230"/>
      <c r="AD14" s="230"/>
      <c r="AE14" s="247" t="str">
        <f t="shared" si="6"/>
        <v/>
      </c>
      <c r="AF14" s="247"/>
      <c r="AG14" s="246">
        <f t="shared" si="4"/>
        <v>-44530</v>
      </c>
      <c r="AH14" s="248">
        <f t="shared" si="5"/>
        <v>-44529</v>
      </c>
      <c r="AI14" s="232" t="s">
        <v>146</v>
      </c>
      <c r="AJ14" s="243" t="s">
        <v>155</v>
      </c>
      <c r="AK14" s="249"/>
      <c r="AL14" s="249"/>
      <c r="AM14" s="249"/>
      <c r="AN14" s="230"/>
      <c r="AO14" s="230"/>
      <c r="AP14" s="230"/>
      <c r="AQ14" s="230"/>
      <c r="AR14" s="250"/>
      <c r="AS14" s="241"/>
      <c r="AT14" s="241"/>
      <c r="AU14" s="241"/>
      <c r="AV14" s="243"/>
      <c r="AW14" s="243"/>
      <c r="AX14" s="238"/>
      <c r="AY14" s="244">
        <f t="shared" si="3"/>
        <v>0</v>
      </c>
      <c r="AZ14" s="239">
        <f t="shared" si="0"/>
        <v>1</v>
      </c>
      <c r="BA14" s="239">
        <f t="shared" si="1"/>
        <v>0</v>
      </c>
      <c r="BB14" s="242">
        <f>IF(AA14="CONTRATADO",IF(BA14=1,NETWORKDAYS.INTL(E14,AD14,1,[1]FESTIVOS!$B$3:$B$10)-1,AD14-E14))-BD14</f>
        <v>0</v>
      </c>
      <c r="BF14" s="160"/>
    </row>
    <row r="15" spans="2:58" ht="43.9" customHeight="1" x14ac:dyDescent="0.25">
      <c r="B15" s="219">
        <f t="shared" si="2"/>
        <v>12</v>
      </c>
      <c r="C15" s="240" t="s">
        <v>232</v>
      </c>
      <c r="D15" s="230" t="s">
        <v>32</v>
      </c>
      <c r="E15" s="222">
        <v>44530</v>
      </c>
      <c r="F15" s="223">
        <v>2021</v>
      </c>
      <c r="G15" s="241" t="s">
        <v>146</v>
      </c>
      <c r="H15" s="241" t="s">
        <v>233</v>
      </c>
      <c r="I15" s="243" t="s">
        <v>146</v>
      </c>
      <c r="J15" s="243" t="s">
        <v>234</v>
      </c>
      <c r="K15" s="339" t="s">
        <v>146</v>
      </c>
      <c r="L15" s="243" t="s">
        <v>235</v>
      </c>
      <c r="M15" s="243" t="s">
        <v>1328</v>
      </c>
      <c r="N15" s="243"/>
      <c r="O15" s="241" t="s">
        <v>146</v>
      </c>
      <c r="P15" s="252" t="s">
        <v>146</v>
      </c>
      <c r="Q15" s="230" t="s">
        <v>146</v>
      </c>
      <c r="R15" s="230" t="s">
        <v>146</v>
      </c>
      <c r="S15" s="230" t="s">
        <v>146</v>
      </c>
      <c r="T15" s="230" t="s">
        <v>230</v>
      </c>
      <c r="U15" s="230" t="s">
        <v>35</v>
      </c>
      <c r="V15" s="245">
        <v>44529</v>
      </c>
      <c r="W15" s="246" t="e">
        <f t="shared" si="7"/>
        <v>#VALUE!</v>
      </c>
      <c r="X15" s="246" t="e">
        <f t="shared" si="8"/>
        <v>#VALUE!</v>
      </c>
      <c r="Y15" s="230"/>
      <c r="Z15" s="246" t="s">
        <v>2080</v>
      </c>
      <c r="AA15" s="246" t="s">
        <v>153</v>
      </c>
      <c r="AB15" s="230" t="s">
        <v>2079</v>
      </c>
      <c r="AC15" s="230"/>
      <c r="AD15" s="230"/>
      <c r="AE15" s="247" t="str">
        <f t="shared" si="6"/>
        <v/>
      </c>
      <c r="AF15" s="247"/>
      <c r="AG15" s="246">
        <f t="shared" si="4"/>
        <v>-44530</v>
      </c>
      <c r="AH15" s="248">
        <f t="shared" si="5"/>
        <v>-44529</v>
      </c>
      <c r="AI15" s="232" t="s">
        <v>146</v>
      </c>
      <c r="AJ15" s="243" t="s">
        <v>155</v>
      </c>
      <c r="AK15" s="249"/>
      <c r="AL15" s="249"/>
      <c r="AM15" s="249"/>
      <c r="AN15" s="230"/>
      <c r="AO15" s="230"/>
      <c r="AP15" s="230"/>
      <c r="AQ15" s="230"/>
      <c r="AR15" s="250"/>
      <c r="AS15" s="241"/>
      <c r="AT15" s="241"/>
      <c r="AU15" s="241"/>
      <c r="AV15" s="243"/>
      <c r="AW15" s="243"/>
      <c r="AX15" s="238"/>
      <c r="AY15" s="244">
        <v>0</v>
      </c>
      <c r="AZ15" s="239">
        <f t="shared" si="0"/>
        <v>1</v>
      </c>
      <c r="BA15" s="239">
        <f t="shared" si="1"/>
        <v>0</v>
      </c>
      <c r="BB15" s="242">
        <f>IF(AA15="CONTRATADO",IF(BA15=1,NETWORKDAYS.INTL(E15,AD15,1,[1]FESTIVOS!$B$3:$B$10)-1,AD15-E15))-BD15</f>
        <v>0</v>
      </c>
      <c r="BF15" s="160"/>
    </row>
    <row r="16" spans="2:58" ht="43.9" customHeight="1" x14ac:dyDescent="0.25">
      <c r="B16" s="219">
        <f t="shared" si="2"/>
        <v>13</v>
      </c>
      <c r="C16" s="240" t="s">
        <v>236</v>
      </c>
      <c r="D16" s="230" t="s">
        <v>28</v>
      </c>
      <c r="E16" s="222">
        <v>44543</v>
      </c>
      <c r="F16" s="223">
        <v>2021</v>
      </c>
      <c r="G16" s="241" t="s">
        <v>237</v>
      </c>
      <c r="H16" s="241" t="s">
        <v>238</v>
      </c>
      <c r="I16" s="255" t="s">
        <v>146</v>
      </c>
      <c r="J16" s="243" t="s">
        <v>239</v>
      </c>
      <c r="K16" s="339">
        <v>4543796519</v>
      </c>
      <c r="L16" s="243"/>
      <c r="M16" s="243" t="s">
        <v>146</v>
      </c>
      <c r="N16" s="243"/>
      <c r="O16" s="241"/>
      <c r="P16" s="256"/>
      <c r="Q16" s="243" t="s">
        <v>240</v>
      </c>
      <c r="R16" s="253"/>
      <c r="S16" s="230" t="s">
        <v>146</v>
      </c>
      <c r="T16" s="230" t="s">
        <v>43</v>
      </c>
      <c r="U16" s="230" t="s">
        <v>213</v>
      </c>
      <c r="V16" s="245">
        <v>44565</v>
      </c>
      <c r="W16" s="246" t="e">
        <f t="shared" si="7"/>
        <v>#VALUE!</v>
      </c>
      <c r="X16" s="246" t="e">
        <f t="shared" si="8"/>
        <v>#VALUE!</v>
      </c>
      <c r="Y16" s="230" t="s">
        <v>1300</v>
      </c>
      <c r="Z16" s="246" t="s">
        <v>214</v>
      </c>
      <c r="AA16" s="246" t="s">
        <v>215</v>
      </c>
      <c r="AB16" s="230"/>
      <c r="AC16" s="230"/>
      <c r="AD16" s="245">
        <v>44575</v>
      </c>
      <c r="AE16" s="247" t="str">
        <f t="shared" si="6"/>
        <v>ene</v>
      </c>
      <c r="AF16" s="247"/>
      <c r="AG16" s="246">
        <f t="shared" si="4"/>
        <v>32</v>
      </c>
      <c r="AH16" s="248">
        <f t="shared" si="5"/>
        <v>10</v>
      </c>
      <c r="AI16" s="246" t="s">
        <v>241</v>
      </c>
      <c r="AJ16" s="243" t="s">
        <v>155</v>
      </c>
      <c r="AK16" s="249"/>
      <c r="AL16" s="249"/>
      <c r="AM16" s="249"/>
      <c r="AN16" s="230"/>
      <c r="AO16" s="230"/>
      <c r="AP16" s="230"/>
      <c r="AQ16" s="230"/>
      <c r="AR16" s="250"/>
      <c r="AS16" s="241"/>
      <c r="AT16" s="241"/>
      <c r="AU16" s="241"/>
      <c r="AV16" s="243"/>
      <c r="AW16" s="243"/>
      <c r="AX16" s="238"/>
      <c r="AY16" s="244">
        <f>+AP16/K16</f>
        <v>0</v>
      </c>
      <c r="AZ16" s="239">
        <f t="shared" si="0"/>
        <v>1</v>
      </c>
      <c r="BA16" s="239">
        <f t="shared" si="1"/>
        <v>1</v>
      </c>
      <c r="BB16" s="242">
        <f>IF(AA16="CONTRATADO",IF(BA16=1,NETWORKDAYS.INTL(E16,AD16,1,[1]FESTIVOS!$B$3:$B$10)-1,AD16-E16))-BD16</f>
        <v>0</v>
      </c>
    </row>
    <row r="17" spans="2:58" ht="43.9" customHeight="1" x14ac:dyDescent="0.25">
      <c r="B17" s="219">
        <f t="shared" si="2"/>
        <v>14</v>
      </c>
      <c r="C17" s="240" t="s">
        <v>242</v>
      </c>
      <c r="D17" s="230" t="s">
        <v>28</v>
      </c>
      <c r="E17" s="222">
        <v>44543</v>
      </c>
      <c r="F17" s="223">
        <v>2021</v>
      </c>
      <c r="G17" s="257" t="s">
        <v>243</v>
      </c>
      <c r="H17" s="241" t="s">
        <v>244</v>
      </c>
      <c r="I17" s="255" t="s">
        <v>146</v>
      </c>
      <c r="J17" s="243" t="s">
        <v>245</v>
      </c>
      <c r="K17" s="339">
        <v>623505255</v>
      </c>
      <c r="L17" s="243"/>
      <c r="M17" s="243" t="s">
        <v>146</v>
      </c>
      <c r="N17" s="243"/>
      <c r="O17" s="241" t="s">
        <v>146</v>
      </c>
      <c r="P17" s="256"/>
      <c r="Q17" s="230" t="s">
        <v>146</v>
      </c>
      <c r="R17" s="230" t="s">
        <v>146</v>
      </c>
      <c r="S17" s="230" t="s">
        <v>146</v>
      </c>
      <c r="T17" s="230" t="s">
        <v>43</v>
      </c>
      <c r="U17" s="230" t="s">
        <v>213</v>
      </c>
      <c r="V17" s="245"/>
      <c r="W17" s="246" t="e">
        <f t="shared" si="7"/>
        <v>#VALUE!</v>
      </c>
      <c r="X17" s="246" t="e">
        <f t="shared" si="8"/>
        <v>#VALUE!</v>
      </c>
      <c r="Y17" s="230" t="s">
        <v>1321</v>
      </c>
      <c r="Z17" s="246" t="s">
        <v>214</v>
      </c>
      <c r="AA17" s="246" t="s">
        <v>215</v>
      </c>
      <c r="AB17" s="230"/>
      <c r="AC17" s="230"/>
      <c r="AD17" s="245">
        <v>44575</v>
      </c>
      <c r="AE17" s="247" t="str">
        <f t="shared" si="6"/>
        <v>ene</v>
      </c>
      <c r="AF17" s="247"/>
      <c r="AG17" s="246">
        <f t="shared" si="4"/>
        <v>32</v>
      </c>
      <c r="AH17" s="248">
        <f t="shared" si="5"/>
        <v>44575</v>
      </c>
      <c r="AI17" s="246" t="s">
        <v>241</v>
      </c>
      <c r="AJ17" s="243" t="s">
        <v>155</v>
      </c>
      <c r="AK17" s="249"/>
      <c r="AL17" s="249"/>
      <c r="AM17" s="249"/>
      <c r="AN17" s="230"/>
      <c r="AO17" s="230"/>
      <c r="AP17" s="230"/>
      <c r="AQ17" s="230"/>
      <c r="AR17" s="250"/>
      <c r="AS17" s="241" t="s">
        <v>146</v>
      </c>
      <c r="AT17" s="241" t="s">
        <v>146</v>
      </c>
      <c r="AU17" s="241"/>
      <c r="AV17" s="243"/>
      <c r="AW17" s="243"/>
      <c r="AX17" s="238"/>
      <c r="AY17" s="244">
        <f>+AP17/K17</f>
        <v>0</v>
      </c>
      <c r="AZ17" s="239">
        <f t="shared" si="0"/>
        <v>1</v>
      </c>
      <c r="BA17" s="239">
        <f t="shared" si="1"/>
        <v>1</v>
      </c>
      <c r="BB17" s="242">
        <f>IF(AA17="CONTRATADO",IF(BA17=1,NETWORKDAYS.INTL(E17,AD17,1,[1]FESTIVOS!$B$3:$B$10)-1,AD17-E17))-BD17</f>
        <v>0</v>
      </c>
      <c r="BF17" s="160"/>
    </row>
    <row r="18" spans="2:58" ht="43.9" customHeight="1" x14ac:dyDescent="0.25">
      <c r="B18" s="100">
        <f t="shared" si="2"/>
        <v>15</v>
      </c>
      <c r="C18" s="131" t="s">
        <v>246</v>
      </c>
      <c r="D18" s="111" t="s">
        <v>28</v>
      </c>
      <c r="E18" s="137">
        <v>44525</v>
      </c>
      <c r="F18" s="380">
        <v>2021</v>
      </c>
      <c r="G18" s="99" t="s">
        <v>146</v>
      </c>
      <c r="H18" s="99" t="s">
        <v>247</v>
      </c>
      <c r="I18" s="164" t="s">
        <v>146</v>
      </c>
      <c r="J18" s="133" t="s">
        <v>248</v>
      </c>
      <c r="K18" s="340" t="s">
        <v>146</v>
      </c>
      <c r="L18" s="96" t="s">
        <v>149</v>
      </c>
      <c r="M18" s="283" t="s">
        <v>249</v>
      </c>
      <c r="N18" s="283"/>
      <c r="O18" s="148" t="s">
        <v>146</v>
      </c>
      <c r="P18" s="383" t="s">
        <v>146</v>
      </c>
      <c r="Q18" s="111" t="s">
        <v>146</v>
      </c>
      <c r="R18" s="111" t="s">
        <v>146</v>
      </c>
      <c r="S18" s="111" t="s">
        <v>146</v>
      </c>
      <c r="T18" s="111" t="s">
        <v>40</v>
      </c>
      <c r="U18" s="111" t="s">
        <v>151</v>
      </c>
      <c r="V18" s="137">
        <v>44525</v>
      </c>
      <c r="W18" s="166" t="e">
        <f>+#REF!-E18</f>
        <v>#REF!</v>
      </c>
      <c r="X18" s="166" t="e">
        <f>#REF!-V18</f>
        <v>#REF!</v>
      </c>
      <c r="Y18" s="111" t="s">
        <v>1317</v>
      </c>
      <c r="Z18" s="166" t="s">
        <v>168</v>
      </c>
      <c r="AA18" s="166" t="s">
        <v>169</v>
      </c>
      <c r="AB18" s="111" t="s">
        <v>1763</v>
      </c>
      <c r="AC18" s="111"/>
      <c r="AD18" s="376">
        <v>44674</v>
      </c>
      <c r="AE18" s="362" t="s">
        <v>4434</v>
      </c>
      <c r="AF18" s="98"/>
      <c r="AG18" s="166">
        <f t="shared" si="4"/>
        <v>149</v>
      </c>
      <c r="AH18" s="166">
        <f t="shared" si="5"/>
        <v>149</v>
      </c>
      <c r="AI18" s="166" t="s">
        <v>146</v>
      </c>
      <c r="AJ18" s="166" t="s">
        <v>171</v>
      </c>
      <c r="AK18" s="381" t="s">
        <v>1764</v>
      </c>
      <c r="AL18" s="381">
        <v>44650</v>
      </c>
      <c r="AM18" s="214" t="s">
        <v>1765</v>
      </c>
      <c r="AN18" s="111" t="s">
        <v>1033</v>
      </c>
      <c r="AO18" s="111"/>
      <c r="AP18" s="181">
        <v>0</v>
      </c>
      <c r="AQ18" s="111"/>
      <c r="AR18" s="379"/>
      <c r="AS18" s="99" t="s">
        <v>146</v>
      </c>
      <c r="AT18" s="99" t="s">
        <v>146</v>
      </c>
      <c r="AU18" s="99"/>
      <c r="AV18" s="96" t="s">
        <v>1040</v>
      </c>
      <c r="AW18" s="96" t="s">
        <v>692</v>
      </c>
      <c r="AX18" s="96"/>
      <c r="AY18" s="167">
        <v>0</v>
      </c>
      <c r="AZ18" s="139">
        <f t="shared" si="0"/>
        <v>1</v>
      </c>
      <c r="BA18" s="139">
        <f t="shared" si="1"/>
        <v>2</v>
      </c>
      <c r="BB18" s="132">
        <f>IF(AA18="CONTRATADO",IF(BA18=1,NETWORKDAYS.INTL(E18,AD18,1,[1]FESTIVOS!$B$3:$B$10)-1,AD18-E18))-BD18</f>
        <v>85</v>
      </c>
      <c r="BC18" s="157"/>
      <c r="BD18" s="162">
        <f>45+10+9</f>
        <v>64</v>
      </c>
      <c r="BE18" s="382" t="s">
        <v>1770</v>
      </c>
      <c r="BF18" s="161" t="str">
        <f>+AB18</f>
        <v>21 de enero en recepcion de ofertas
24 de enero en evaluacion dobre 1
2 de febrero esperando comité
23 de marzo en firma de la minuta. Se demoro porque se cambio el representante legal
31 de marzo en numeracion del contrato
5 de abril en espera de las polizas por parte del proveedor 
19 de abril en solicitud de polizas
23 DE ABRIL ENTREGADO AL AREA</v>
      </c>
    </row>
    <row r="19" spans="2:58" ht="43.9" customHeight="1" x14ac:dyDescent="0.25">
      <c r="B19" s="100">
        <v>1</v>
      </c>
      <c r="C19" s="110" t="s">
        <v>92</v>
      </c>
      <c r="D19" s="99" t="s">
        <v>33</v>
      </c>
      <c r="E19" s="137">
        <v>44540</v>
      </c>
      <c r="F19" s="131" t="s">
        <v>4431</v>
      </c>
      <c r="G19" s="96" t="s">
        <v>250</v>
      </c>
      <c r="H19" s="96" t="s">
        <v>251</v>
      </c>
      <c r="I19" s="164" t="s">
        <v>146</v>
      </c>
      <c r="J19" s="133" t="s">
        <v>252</v>
      </c>
      <c r="K19" s="340">
        <v>16911804</v>
      </c>
      <c r="L19" s="99" t="s">
        <v>253</v>
      </c>
      <c r="M19" s="99" t="s">
        <v>254</v>
      </c>
      <c r="N19" s="99"/>
      <c r="O19" s="99" t="s">
        <v>255</v>
      </c>
      <c r="P19" s="165"/>
      <c r="Q19" s="111" t="s">
        <v>146</v>
      </c>
      <c r="R19" s="111" t="s">
        <v>146</v>
      </c>
      <c r="S19" s="111"/>
      <c r="T19" s="111" t="s">
        <v>43</v>
      </c>
      <c r="U19" s="96" t="s">
        <v>256</v>
      </c>
      <c r="V19" s="137">
        <v>44564</v>
      </c>
      <c r="W19" s="166"/>
      <c r="X19" s="166"/>
      <c r="Y19" s="111"/>
      <c r="Z19" s="96" t="s">
        <v>168</v>
      </c>
      <c r="AA19" s="99" t="s">
        <v>169</v>
      </c>
      <c r="AB19" s="96" t="s">
        <v>257</v>
      </c>
      <c r="AC19" s="96"/>
      <c r="AD19" s="97">
        <v>44589</v>
      </c>
      <c r="AE19" s="362" t="s">
        <v>4431</v>
      </c>
      <c r="AF19" s="98"/>
      <c r="AG19" s="166">
        <f t="shared" ref="AG19:AG50" si="9">+AD19-E19</f>
        <v>49</v>
      </c>
      <c r="AH19" s="166">
        <f t="shared" ref="AH19:AH50" si="10">+AD19-V19</f>
        <v>25</v>
      </c>
      <c r="AI19" s="99" t="s">
        <v>258</v>
      </c>
      <c r="AJ19" s="96" t="s">
        <v>171</v>
      </c>
      <c r="AK19" s="99" t="s">
        <v>259</v>
      </c>
      <c r="AL19" s="97">
        <v>44585</v>
      </c>
      <c r="AM19" s="214">
        <v>16911804</v>
      </c>
      <c r="AN19" s="96" t="s">
        <v>260</v>
      </c>
      <c r="AO19" s="96"/>
      <c r="AP19" s="181">
        <f t="shared" ref="AP19:AP33" si="11">+K19-AM19</f>
        <v>0</v>
      </c>
      <c r="AQ19" s="138"/>
      <c r="AR19" s="138"/>
      <c r="AS19" s="99" t="s">
        <v>146</v>
      </c>
      <c r="AT19" s="99" t="s">
        <v>146</v>
      </c>
      <c r="AU19" s="138"/>
      <c r="AV19" s="99" t="s">
        <v>174</v>
      </c>
      <c r="AW19" s="99" t="s">
        <v>175</v>
      </c>
      <c r="AX19" s="99"/>
      <c r="AY19" s="167">
        <f>+AP19/K19</f>
        <v>0</v>
      </c>
      <c r="AZ19" s="139">
        <f>IF(D19="GUENAA",1,IF(D19="GUENE",1,IF(D19="GUENT",1,0)))</f>
        <v>1</v>
      </c>
      <c r="BA19" s="139">
        <f>IF(T19="Invitación Privada",1,IF(T19="Invitación Pública",2,0))</f>
        <v>1</v>
      </c>
      <c r="BB19" s="132">
        <f>IF(AA19="CONTRATADO",IF(BA19=1,NETWORKDAYS.INTL(E19,AD19,1,[1]FESTIVOS!$B$3:$B$10)-1,AD19-E19))-BD19</f>
        <v>34</v>
      </c>
      <c r="BC19" s="157"/>
      <c r="BD19" s="162">
        <v>0</v>
      </c>
      <c r="BE19" s="382" t="s">
        <v>2052</v>
      </c>
      <c r="BF19" s="160"/>
    </row>
    <row r="20" spans="2:58" ht="43.9" customHeight="1" x14ac:dyDescent="0.25">
      <c r="B20" s="100">
        <f t="shared" ref="B20:B83" si="12">+B19+1</f>
        <v>2</v>
      </c>
      <c r="C20" s="110" t="s">
        <v>30</v>
      </c>
      <c r="D20" s="99" t="s">
        <v>33</v>
      </c>
      <c r="E20" s="140">
        <v>44540</v>
      </c>
      <c r="F20" s="131" t="s">
        <v>4431</v>
      </c>
      <c r="G20" s="96" t="s">
        <v>261</v>
      </c>
      <c r="H20" s="96" t="s">
        <v>262</v>
      </c>
      <c r="I20" s="164" t="s">
        <v>146</v>
      </c>
      <c r="J20" s="133" t="s">
        <v>263</v>
      </c>
      <c r="K20" s="341">
        <v>48684219</v>
      </c>
      <c r="L20" s="96" t="s">
        <v>253</v>
      </c>
      <c r="M20" s="99" t="s">
        <v>264</v>
      </c>
      <c r="N20" s="99"/>
      <c r="O20" s="99">
        <v>202201974</v>
      </c>
      <c r="P20" s="165">
        <v>48392074</v>
      </c>
      <c r="Q20" s="111" t="s">
        <v>146</v>
      </c>
      <c r="R20" s="111" t="s">
        <v>146</v>
      </c>
      <c r="S20" s="111"/>
      <c r="T20" s="111" t="s">
        <v>43</v>
      </c>
      <c r="U20" s="96" t="s">
        <v>256</v>
      </c>
      <c r="V20" s="137">
        <v>44564</v>
      </c>
      <c r="W20" s="166"/>
      <c r="X20" s="166"/>
      <c r="Y20" s="111"/>
      <c r="Z20" s="96" t="s">
        <v>168</v>
      </c>
      <c r="AA20" s="99" t="s">
        <v>169</v>
      </c>
      <c r="AB20" s="96" t="s">
        <v>265</v>
      </c>
      <c r="AC20" s="96"/>
      <c r="AD20" s="97">
        <v>44614</v>
      </c>
      <c r="AE20" s="362" t="s">
        <v>4431</v>
      </c>
      <c r="AF20" s="98"/>
      <c r="AG20" s="166">
        <f t="shared" si="9"/>
        <v>74</v>
      </c>
      <c r="AH20" s="166">
        <f t="shared" si="10"/>
        <v>50</v>
      </c>
      <c r="AI20" s="99" t="s">
        <v>258</v>
      </c>
      <c r="AJ20" s="96" t="s">
        <v>171</v>
      </c>
      <c r="AK20" s="99" t="s">
        <v>990</v>
      </c>
      <c r="AL20" s="97">
        <v>44587</v>
      </c>
      <c r="AM20" s="214">
        <v>48391479</v>
      </c>
      <c r="AN20" s="96" t="s">
        <v>991</v>
      </c>
      <c r="AO20" s="96"/>
      <c r="AP20" s="181">
        <f t="shared" si="11"/>
        <v>292740</v>
      </c>
      <c r="AQ20" s="138"/>
      <c r="AR20" s="138"/>
      <c r="AS20" s="99" t="s">
        <v>146</v>
      </c>
      <c r="AT20" s="99" t="s">
        <v>146</v>
      </c>
      <c r="AU20" s="138"/>
      <c r="AV20" s="99" t="s">
        <v>174</v>
      </c>
      <c r="AW20" s="99" t="s">
        <v>175</v>
      </c>
      <c r="AX20" s="99"/>
      <c r="AY20" s="167">
        <f>+AP20/K20</f>
        <v>6.013036791244407E-3</v>
      </c>
      <c r="AZ20" s="139">
        <f>IF(D20="GUENAA",1,IF(D20="GUENE",1,IF(D20="GUENT",1,0)))</f>
        <v>1</v>
      </c>
      <c r="BA20" s="139">
        <f>IF(T20="Invitación Privada",1,IF(T20="Invitación Pública",2,0))</f>
        <v>1</v>
      </c>
      <c r="BB20" s="132">
        <f>IF(AA20="CONTRATADO",IF(BA20=1,NETWORKDAYS.INTL(E20,AD20,1,[1]FESTIVOS!$B$3:$B$10)-1,AD20-E20))-BD20</f>
        <v>51</v>
      </c>
      <c r="BC20" s="157"/>
      <c r="BD20" s="162">
        <v>0</v>
      </c>
      <c r="BE20" s="382" t="s">
        <v>2052</v>
      </c>
      <c r="BF20" s="159"/>
    </row>
    <row r="21" spans="2:58" ht="43.9" customHeight="1" x14ac:dyDescent="0.25">
      <c r="B21" s="100">
        <f t="shared" si="12"/>
        <v>3</v>
      </c>
      <c r="C21" s="110" t="s">
        <v>31</v>
      </c>
      <c r="D21" s="99" t="s">
        <v>33</v>
      </c>
      <c r="E21" s="140">
        <v>44540</v>
      </c>
      <c r="F21" s="131" t="s">
        <v>4431</v>
      </c>
      <c r="G21" s="96" t="s">
        <v>266</v>
      </c>
      <c r="H21" s="96" t="s">
        <v>267</v>
      </c>
      <c r="I21" s="164" t="s">
        <v>146</v>
      </c>
      <c r="J21" s="133" t="s">
        <v>268</v>
      </c>
      <c r="K21" s="341">
        <v>24347400</v>
      </c>
      <c r="L21" s="96" t="s">
        <v>275</v>
      </c>
      <c r="M21" s="99" t="s">
        <v>269</v>
      </c>
      <c r="N21" s="99"/>
      <c r="O21" s="99">
        <v>202201976</v>
      </c>
      <c r="P21" s="165">
        <v>34396662</v>
      </c>
      <c r="Q21" s="111" t="s">
        <v>146</v>
      </c>
      <c r="R21" s="111" t="s">
        <v>146</v>
      </c>
      <c r="S21" s="111"/>
      <c r="T21" s="111" t="s">
        <v>43</v>
      </c>
      <c r="U21" s="96" t="s">
        <v>256</v>
      </c>
      <c r="V21" s="137">
        <v>44564</v>
      </c>
      <c r="W21" s="166"/>
      <c r="X21" s="166"/>
      <c r="Y21" s="111"/>
      <c r="Z21" s="96" t="s">
        <v>168</v>
      </c>
      <c r="AA21" s="99" t="s">
        <v>169</v>
      </c>
      <c r="AB21" s="96" t="s">
        <v>270</v>
      </c>
      <c r="AC21" s="96"/>
      <c r="AD21" s="97">
        <v>44594</v>
      </c>
      <c r="AE21" s="362" t="s">
        <v>4431</v>
      </c>
      <c r="AF21" s="98"/>
      <c r="AG21" s="166">
        <f t="shared" si="9"/>
        <v>54</v>
      </c>
      <c r="AH21" s="166">
        <f t="shared" si="10"/>
        <v>30</v>
      </c>
      <c r="AI21" s="99" t="s">
        <v>258</v>
      </c>
      <c r="AJ21" s="96" t="s">
        <v>171</v>
      </c>
      <c r="AK21" s="99" t="s">
        <v>992</v>
      </c>
      <c r="AL21" s="97">
        <v>44585</v>
      </c>
      <c r="AM21" s="214">
        <v>19347400</v>
      </c>
      <c r="AN21" s="96" t="s">
        <v>993</v>
      </c>
      <c r="AO21" s="96"/>
      <c r="AP21" s="181">
        <f t="shared" si="11"/>
        <v>5000000</v>
      </c>
      <c r="AQ21" s="138"/>
      <c r="AR21" s="138"/>
      <c r="AS21" s="99" t="s">
        <v>146</v>
      </c>
      <c r="AT21" s="99" t="s">
        <v>146</v>
      </c>
      <c r="AU21" s="138"/>
      <c r="AV21" s="99" t="s">
        <v>174</v>
      </c>
      <c r="AW21" s="99" t="s">
        <v>175</v>
      </c>
      <c r="AX21" s="99"/>
      <c r="AY21" s="167">
        <f>+AP21/K21</f>
        <v>0.20536073667003457</v>
      </c>
      <c r="AZ21" s="139">
        <f>IF(D21="GUENAA",1,IF(D21="GUENE",1,IF(D21="GUENT",1,0)))</f>
        <v>1</v>
      </c>
      <c r="BA21" s="139">
        <f>IF(T21="Invitación Privada",1,IF(T21="Invitación Pública",2,0))</f>
        <v>1</v>
      </c>
      <c r="BB21" s="132">
        <f>IF(AA21="CONTRATADO",IF(BA21=1,NETWORKDAYS.INTL(E21,AD21,1,[1]FESTIVOS!$B$3:$B$10)-1,AD21-E21))-BD21</f>
        <v>37</v>
      </c>
      <c r="BC21" s="157"/>
      <c r="BD21" s="162">
        <v>0</v>
      </c>
      <c r="BE21" s="382" t="s">
        <v>2052</v>
      </c>
      <c r="BF21" s="159" t="s">
        <v>2373</v>
      </c>
    </row>
    <row r="22" spans="2:58" ht="43.9" customHeight="1" x14ac:dyDescent="0.25">
      <c r="B22" s="100">
        <f t="shared" si="12"/>
        <v>4</v>
      </c>
      <c r="C22" s="293" t="s">
        <v>271</v>
      </c>
      <c r="D22" s="265" t="s">
        <v>1559</v>
      </c>
      <c r="E22" s="272">
        <v>44540</v>
      </c>
      <c r="F22" s="131" t="s">
        <v>4431</v>
      </c>
      <c r="G22" s="269" t="s">
        <v>272</v>
      </c>
      <c r="H22" s="265" t="s">
        <v>273</v>
      </c>
      <c r="I22" s="319" t="s">
        <v>146</v>
      </c>
      <c r="J22" s="269" t="s">
        <v>274</v>
      </c>
      <c r="K22" s="342">
        <v>121973133</v>
      </c>
      <c r="L22" s="282" t="s">
        <v>275</v>
      </c>
      <c r="M22" s="265" t="s">
        <v>276</v>
      </c>
      <c r="N22" s="302" t="str">
        <f>MID(M22,5,3)</f>
        <v>IP-</v>
      </c>
      <c r="O22" s="320" t="s">
        <v>255</v>
      </c>
      <c r="P22" s="271"/>
      <c r="Q22" s="312" t="s">
        <v>146</v>
      </c>
      <c r="R22" s="312" t="s">
        <v>146</v>
      </c>
      <c r="S22" s="312" t="s">
        <v>146</v>
      </c>
      <c r="T22" s="111" t="s">
        <v>43</v>
      </c>
      <c r="U22" s="269" t="s">
        <v>277</v>
      </c>
      <c r="V22" s="284">
        <v>44564</v>
      </c>
      <c r="W22" s="303" t="e">
        <f>+$D$4-E22</f>
        <v>#VALUE!</v>
      </c>
      <c r="X22" s="303" t="e">
        <f>$D$4-V22</f>
        <v>#VALUE!</v>
      </c>
      <c r="Y22" s="312" t="s">
        <v>1300</v>
      </c>
      <c r="Z22" s="265" t="s">
        <v>214</v>
      </c>
      <c r="AA22" s="265" t="s">
        <v>215</v>
      </c>
      <c r="AB22" s="265"/>
      <c r="AC22" s="304" t="s">
        <v>278</v>
      </c>
      <c r="AD22" s="272">
        <v>44587</v>
      </c>
      <c r="AE22" s="265"/>
      <c r="AF22" s="305" t="str">
        <f>+IF(AD22="","",TEXT(AD22,"mmm"))</f>
        <v>ene</v>
      </c>
      <c r="AG22" s="306">
        <f t="shared" si="9"/>
        <v>47</v>
      </c>
      <c r="AH22" s="307">
        <f t="shared" si="10"/>
        <v>23</v>
      </c>
      <c r="AI22" s="277"/>
      <c r="AJ22" s="265" t="s">
        <v>171</v>
      </c>
      <c r="AK22" s="277"/>
      <c r="AL22" s="277"/>
      <c r="AM22" s="309"/>
      <c r="AN22" s="269"/>
      <c r="AO22" s="277"/>
      <c r="AP22" s="309">
        <f t="shared" si="11"/>
        <v>121973133</v>
      </c>
      <c r="AQ22" s="289"/>
      <c r="AR22" s="289"/>
      <c r="AS22" s="277"/>
      <c r="AT22" s="260"/>
      <c r="AU22" s="260"/>
      <c r="AV22" s="200"/>
      <c r="AW22" s="200"/>
      <c r="AX22" s="200"/>
      <c r="AY22" s="200"/>
      <c r="AZ22" s="139">
        <f t="shared" ref="AZ22:AZ85" si="13">IF(D22="GUENAA",1,IF(D22="GUENE",1,IF(D22="GUENT",1,0)))</f>
        <v>0</v>
      </c>
      <c r="BA22" s="200"/>
      <c r="BB22" s="203"/>
      <c r="BC22" s="95"/>
      <c r="BD22" s="2"/>
      <c r="BE22" s="2"/>
      <c r="BF22" s="161">
        <f>+AB22</f>
        <v>0</v>
      </c>
    </row>
    <row r="23" spans="2:58" ht="43.9" customHeight="1" x14ac:dyDescent="0.25">
      <c r="B23" s="100">
        <f t="shared" si="12"/>
        <v>5</v>
      </c>
      <c r="C23" s="110" t="s">
        <v>279</v>
      </c>
      <c r="D23" s="99" t="s">
        <v>33</v>
      </c>
      <c r="E23" s="140">
        <v>44544</v>
      </c>
      <c r="F23" s="131" t="s">
        <v>4431</v>
      </c>
      <c r="G23" s="96" t="s">
        <v>280</v>
      </c>
      <c r="H23" s="96" t="s">
        <v>281</v>
      </c>
      <c r="I23" s="164" t="s">
        <v>146</v>
      </c>
      <c r="J23" s="133" t="s">
        <v>282</v>
      </c>
      <c r="K23" s="341">
        <v>193350080</v>
      </c>
      <c r="L23" s="96" t="s">
        <v>283</v>
      </c>
      <c r="M23" s="99" t="s">
        <v>284</v>
      </c>
      <c r="N23" s="99"/>
      <c r="O23" s="99">
        <v>202201978</v>
      </c>
      <c r="P23" s="165">
        <v>193350080</v>
      </c>
      <c r="Q23" s="111" t="s">
        <v>146</v>
      </c>
      <c r="R23" s="111" t="s">
        <v>146</v>
      </c>
      <c r="S23" s="111"/>
      <c r="T23" s="111" t="s">
        <v>43</v>
      </c>
      <c r="U23" s="96" t="s">
        <v>277</v>
      </c>
      <c r="V23" s="137">
        <v>44564</v>
      </c>
      <c r="W23" s="166"/>
      <c r="X23" s="166"/>
      <c r="Y23" s="111"/>
      <c r="Z23" s="96" t="s">
        <v>168</v>
      </c>
      <c r="AA23" s="99" t="s">
        <v>169</v>
      </c>
      <c r="AB23" s="96" t="s">
        <v>285</v>
      </c>
      <c r="AC23" s="96"/>
      <c r="AD23" s="97">
        <v>44600</v>
      </c>
      <c r="AE23" s="362" t="s">
        <v>4431</v>
      </c>
      <c r="AF23" s="98"/>
      <c r="AG23" s="166">
        <f t="shared" si="9"/>
        <v>56</v>
      </c>
      <c r="AH23" s="166">
        <f t="shared" si="10"/>
        <v>36</v>
      </c>
      <c r="AI23" s="99" t="s">
        <v>258</v>
      </c>
      <c r="AJ23" s="96" t="s">
        <v>171</v>
      </c>
      <c r="AK23" s="99" t="s">
        <v>994</v>
      </c>
      <c r="AL23" s="97">
        <v>44588</v>
      </c>
      <c r="AM23" s="214">
        <v>193347661</v>
      </c>
      <c r="AN23" s="96" t="s">
        <v>995</v>
      </c>
      <c r="AO23" s="96"/>
      <c r="AP23" s="181">
        <f t="shared" si="11"/>
        <v>2419</v>
      </c>
      <c r="AQ23" s="138"/>
      <c r="AR23" s="138"/>
      <c r="AS23" s="99" t="s">
        <v>286</v>
      </c>
      <c r="AT23" s="97">
        <v>44203</v>
      </c>
      <c r="AU23" s="97"/>
      <c r="AV23" s="99" t="s">
        <v>1000</v>
      </c>
      <c r="AW23" s="99" t="s">
        <v>692</v>
      </c>
      <c r="AX23" s="99"/>
      <c r="AY23" s="167">
        <f t="shared" ref="AY23:AY25" si="14">+AP23/K23</f>
        <v>1.2510985255346158E-5</v>
      </c>
      <c r="AZ23" s="139">
        <f t="shared" si="13"/>
        <v>1</v>
      </c>
      <c r="BA23" s="139">
        <f>IF(T23="Invitación Privada",1,IF(T23="Invitación Pública",2,0))</f>
        <v>1</v>
      </c>
      <c r="BB23" s="132">
        <f>IF(AA23="CONTRATADO",IF(BA23=1,NETWORKDAYS.INTL(E23,AD23,1,[1]FESTIVOS!$B$3:$B$10)-1,AD23-E23))-BD23</f>
        <v>39</v>
      </c>
      <c r="BC23" s="157"/>
      <c r="BD23" s="162">
        <v>0</v>
      </c>
      <c r="BE23" s="382" t="s">
        <v>2052</v>
      </c>
      <c r="BF23" s="160"/>
    </row>
    <row r="24" spans="2:58" ht="43.9" customHeight="1" x14ac:dyDescent="0.25">
      <c r="B24" s="100">
        <f t="shared" si="12"/>
        <v>6</v>
      </c>
      <c r="C24" s="110" t="s">
        <v>287</v>
      </c>
      <c r="D24" s="99" t="s">
        <v>33</v>
      </c>
      <c r="E24" s="140">
        <v>44580</v>
      </c>
      <c r="F24" s="131" t="s">
        <v>4431</v>
      </c>
      <c r="G24" s="96" t="s">
        <v>288</v>
      </c>
      <c r="H24" s="96" t="s">
        <v>289</v>
      </c>
      <c r="I24" s="164" t="s">
        <v>146</v>
      </c>
      <c r="J24" s="133" t="s">
        <v>290</v>
      </c>
      <c r="K24" s="341">
        <v>223979115</v>
      </c>
      <c r="L24" s="96" t="s">
        <v>291</v>
      </c>
      <c r="M24" s="99" t="s">
        <v>292</v>
      </c>
      <c r="N24" s="99"/>
      <c r="O24" s="99">
        <v>202201971</v>
      </c>
      <c r="P24" s="165">
        <v>221603675</v>
      </c>
      <c r="Q24" s="111" t="s">
        <v>146</v>
      </c>
      <c r="R24" s="111" t="s">
        <v>146</v>
      </c>
      <c r="S24" s="111"/>
      <c r="T24" s="111" t="s">
        <v>43</v>
      </c>
      <c r="U24" s="96" t="s">
        <v>35</v>
      </c>
      <c r="V24" s="137">
        <v>44580</v>
      </c>
      <c r="W24" s="166"/>
      <c r="X24" s="166"/>
      <c r="Y24" s="111"/>
      <c r="Z24" s="96" t="s">
        <v>168</v>
      </c>
      <c r="AA24" s="99" t="s">
        <v>169</v>
      </c>
      <c r="AB24" s="96" t="s">
        <v>293</v>
      </c>
      <c r="AC24" s="96"/>
      <c r="AD24" s="97">
        <v>44606</v>
      </c>
      <c r="AE24" s="362" t="s">
        <v>4431</v>
      </c>
      <c r="AF24" s="98"/>
      <c r="AG24" s="166">
        <f t="shared" si="9"/>
        <v>26</v>
      </c>
      <c r="AH24" s="166">
        <f t="shared" si="10"/>
        <v>26</v>
      </c>
      <c r="AI24" s="99" t="s">
        <v>258</v>
      </c>
      <c r="AJ24" s="96" t="s">
        <v>171</v>
      </c>
      <c r="AK24" s="99" t="s">
        <v>996</v>
      </c>
      <c r="AL24" s="97">
        <v>44589</v>
      </c>
      <c r="AM24" s="214">
        <v>220952060</v>
      </c>
      <c r="AN24" s="96" t="s">
        <v>997</v>
      </c>
      <c r="AO24" s="96"/>
      <c r="AP24" s="181">
        <f t="shared" si="11"/>
        <v>3027055</v>
      </c>
      <c r="AQ24" s="138"/>
      <c r="AR24" s="138"/>
      <c r="AS24" s="99" t="s">
        <v>146</v>
      </c>
      <c r="AT24" s="99" t="s">
        <v>146</v>
      </c>
      <c r="AU24" s="138"/>
      <c r="AV24" s="99" t="s">
        <v>1001</v>
      </c>
      <c r="AW24" s="99" t="s">
        <v>1002</v>
      </c>
      <c r="AX24" s="99"/>
      <c r="AY24" s="167">
        <f t="shared" si="14"/>
        <v>1.3514898476136938E-2</v>
      </c>
      <c r="AZ24" s="139">
        <f t="shared" si="13"/>
        <v>1</v>
      </c>
      <c r="BA24" s="139">
        <f>IF(T24="Invitación Privada",1,IF(T24="Invitación Pública",2,0))</f>
        <v>1</v>
      </c>
      <c r="BB24" s="132">
        <f>IF(AA24="CONTRATADO",IF(BA24=1,NETWORKDAYS.INTL(E24,AD24,1,[1]FESTIVOS!$B$3:$B$10)-1,AD24-E24))-BD24</f>
        <v>18</v>
      </c>
      <c r="BC24" s="157"/>
      <c r="BD24" s="162">
        <v>0</v>
      </c>
      <c r="BE24" s="382" t="s">
        <v>2052</v>
      </c>
      <c r="BF24" s="160"/>
    </row>
    <row r="25" spans="2:58" ht="43.9" customHeight="1" x14ac:dyDescent="0.25">
      <c r="B25" s="100">
        <f t="shared" si="12"/>
        <v>7</v>
      </c>
      <c r="C25" s="110" t="s">
        <v>294</v>
      </c>
      <c r="D25" s="96" t="s">
        <v>33</v>
      </c>
      <c r="E25" s="140">
        <v>44580</v>
      </c>
      <c r="F25" s="131" t="s">
        <v>4431</v>
      </c>
      <c r="G25" s="96" t="s">
        <v>295</v>
      </c>
      <c r="H25" s="96" t="s">
        <v>296</v>
      </c>
      <c r="I25" s="164" t="s">
        <v>146</v>
      </c>
      <c r="J25" s="133" t="s">
        <v>297</v>
      </c>
      <c r="K25" s="341">
        <v>37000000</v>
      </c>
      <c r="L25" s="96" t="s">
        <v>298</v>
      </c>
      <c r="M25" s="96" t="s">
        <v>299</v>
      </c>
      <c r="N25" s="96"/>
      <c r="O25" s="99">
        <v>202201970</v>
      </c>
      <c r="P25" s="165">
        <v>37000000</v>
      </c>
      <c r="Q25" s="111" t="s">
        <v>146</v>
      </c>
      <c r="R25" s="111" t="s">
        <v>146</v>
      </c>
      <c r="S25" s="111"/>
      <c r="T25" s="111" t="s">
        <v>43</v>
      </c>
      <c r="U25" s="96" t="s">
        <v>35</v>
      </c>
      <c r="V25" s="140">
        <v>44580</v>
      </c>
      <c r="W25" s="166"/>
      <c r="X25" s="166"/>
      <c r="Y25" s="111"/>
      <c r="Z25" s="96" t="s">
        <v>168</v>
      </c>
      <c r="AA25" s="96" t="s">
        <v>169</v>
      </c>
      <c r="AB25" s="96" t="s">
        <v>300</v>
      </c>
      <c r="AC25" s="96"/>
      <c r="AD25" s="141">
        <v>44606</v>
      </c>
      <c r="AE25" s="362" t="s">
        <v>4431</v>
      </c>
      <c r="AF25" s="98"/>
      <c r="AG25" s="166">
        <f t="shared" si="9"/>
        <v>26</v>
      </c>
      <c r="AH25" s="166">
        <f t="shared" si="10"/>
        <v>26</v>
      </c>
      <c r="AI25" s="96" t="s">
        <v>258</v>
      </c>
      <c r="AJ25" s="96" t="s">
        <v>155</v>
      </c>
      <c r="AK25" s="96" t="s">
        <v>998</v>
      </c>
      <c r="AL25" s="141">
        <v>44589</v>
      </c>
      <c r="AM25" s="214">
        <v>35070202</v>
      </c>
      <c r="AN25" s="96" t="s">
        <v>999</v>
      </c>
      <c r="AO25" s="96"/>
      <c r="AP25" s="181">
        <f t="shared" si="11"/>
        <v>1929798</v>
      </c>
      <c r="AQ25" s="138"/>
      <c r="AR25" s="138"/>
      <c r="AS25" s="96" t="s">
        <v>146</v>
      </c>
      <c r="AT25" s="96" t="s">
        <v>146</v>
      </c>
      <c r="AU25" s="138"/>
      <c r="AV25" s="96" t="s">
        <v>1003</v>
      </c>
      <c r="AW25" s="96" t="s">
        <v>1002</v>
      </c>
      <c r="AX25" s="96"/>
      <c r="AY25" s="167">
        <f t="shared" si="14"/>
        <v>5.2156702702702701E-2</v>
      </c>
      <c r="AZ25" s="139">
        <f t="shared" si="13"/>
        <v>1</v>
      </c>
      <c r="BA25" s="139">
        <f>IF(T25="Invitación Privada",1,IF(T25="Invitación Pública",2,0))</f>
        <v>1</v>
      </c>
      <c r="BB25" s="132">
        <f>IF(AA25="CONTRATADO",IF(BA25=1,NETWORKDAYS.INTL(E25,AD25,1,[1]FESTIVOS!$B$3:$B$10)-1,AD25-E25))-BD25</f>
        <v>18</v>
      </c>
      <c r="BC25" s="157"/>
      <c r="BD25" s="162">
        <v>0</v>
      </c>
      <c r="BE25" s="382" t="s">
        <v>2052</v>
      </c>
      <c r="BF25" s="161" t="str">
        <f>+AB25</f>
        <v>21 DE ENERO EN COTIZACIONES SE PONE FECHA DE RADICADO EL DIA 19 DE ENERO QUE LLEGO EL CDP
26 DE ENERO SE DEVUELVE EL DIA DE MAÑANA PORQUE IMPACTO TRIBUTARIO NO DIO SU CONCEPTO Y EL AREA NO MODIFICO LAS ESPECIFICACIONES Y NO SE ALCANZA A TERMINAR
Lo recibieron nuevamente 
28 de enero en elaboracion de fpa e invitacion</v>
      </c>
    </row>
    <row r="26" spans="2:58" ht="43.9" customHeight="1" x14ac:dyDescent="0.25">
      <c r="B26" s="100">
        <f t="shared" si="12"/>
        <v>8</v>
      </c>
      <c r="C26" s="293" t="s">
        <v>301</v>
      </c>
      <c r="D26" s="265" t="s">
        <v>1559</v>
      </c>
      <c r="E26" s="272">
        <v>44581</v>
      </c>
      <c r="F26" s="131" t="s">
        <v>4431</v>
      </c>
      <c r="G26" s="269" t="s">
        <v>302</v>
      </c>
      <c r="H26" s="265" t="s">
        <v>303</v>
      </c>
      <c r="I26" s="319" t="s">
        <v>146</v>
      </c>
      <c r="J26" s="269" t="s">
        <v>304</v>
      </c>
      <c r="K26" s="342">
        <v>143761000</v>
      </c>
      <c r="L26" s="282" t="s">
        <v>283</v>
      </c>
      <c r="M26" s="265" t="s">
        <v>305</v>
      </c>
      <c r="N26" s="302" t="str">
        <f>MID(M26,5,3)</f>
        <v>IP-</v>
      </c>
      <c r="O26" s="320" t="s">
        <v>255</v>
      </c>
      <c r="P26" s="271">
        <v>143761000</v>
      </c>
      <c r="Q26" s="312" t="s">
        <v>146</v>
      </c>
      <c r="R26" s="312" t="s">
        <v>146</v>
      </c>
      <c r="S26" s="312" t="s">
        <v>146</v>
      </c>
      <c r="T26" s="111" t="s">
        <v>43</v>
      </c>
      <c r="U26" s="269" t="s">
        <v>277</v>
      </c>
      <c r="V26" s="284">
        <v>44581</v>
      </c>
      <c r="W26" s="303" t="e">
        <f>+$D$4-E26</f>
        <v>#VALUE!</v>
      </c>
      <c r="X26" s="303" t="e">
        <f>$D$4-V26</f>
        <v>#VALUE!</v>
      </c>
      <c r="Y26" s="312" t="s">
        <v>1300</v>
      </c>
      <c r="Z26" s="265" t="s">
        <v>214</v>
      </c>
      <c r="AA26" s="265" t="s">
        <v>215</v>
      </c>
      <c r="AB26" s="265"/>
      <c r="AC26" s="304" t="s">
        <v>306</v>
      </c>
      <c r="AD26" s="272">
        <v>44587</v>
      </c>
      <c r="AE26" s="265"/>
      <c r="AF26" s="305" t="str">
        <f>+IF(AD26="","",TEXT(AD26,"mmm"))</f>
        <v>ene</v>
      </c>
      <c r="AG26" s="306">
        <f t="shared" si="9"/>
        <v>6</v>
      </c>
      <c r="AH26" s="307">
        <f t="shared" si="10"/>
        <v>6</v>
      </c>
      <c r="AI26" s="277"/>
      <c r="AJ26" s="265" t="s">
        <v>171</v>
      </c>
      <c r="AK26" s="277"/>
      <c r="AL26" s="277"/>
      <c r="AM26" s="309"/>
      <c r="AN26" s="269"/>
      <c r="AO26" s="277"/>
      <c r="AP26" s="309">
        <f t="shared" si="11"/>
        <v>143761000</v>
      </c>
      <c r="AQ26" s="289"/>
      <c r="AR26" s="289"/>
      <c r="AS26" s="277"/>
      <c r="AT26" s="260"/>
      <c r="AU26" s="260"/>
      <c r="AV26" s="200"/>
      <c r="AW26" s="200"/>
      <c r="AX26" s="200"/>
      <c r="AY26" s="200"/>
      <c r="AZ26" s="139">
        <f t="shared" si="13"/>
        <v>0</v>
      </c>
      <c r="BA26" s="200"/>
      <c r="BB26" s="203"/>
      <c r="BC26" s="95"/>
      <c r="BD26" s="2"/>
      <c r="BE26" s="2"/>
    </row>
    <row r="27" spans="2:58" ht="43.9" customHeight="1" x14ac:dyDescent="0.25">
      <c r="B27" s="100">
        <f t="shared" si="12"/>
        <v>9</v>
      </c>
      <c r="C27" s="110" t="s">
        <v>307</v>
      </c>
      <c r="D27" s="99" t="s">
        <v>28</v>
      </c>
      <c r="E27" s="137">
        <v>44559</v>
      </c>
      <c r="F27" s="131" t="s">
        <v>4431</v>
      </c>
      <c r="G27" s="96" t="s">
        <v>308</v>
      </c>
      <c r="H27" s="96" t="s">
        <v>309</v>
      </c>
      <c r="I27" s="164" t="s">
        <v>146</v>
      </c>
      <c r="J27" s="133" t="s">
        <v>310</v>
      </c>
      <c r="K27" s="341">
        <v>96889800</v>
      </c>
      <c r="L27" s="99" t="s">
        <v>298</v>
      </c>
      <c r="M27" s="99" t="s">
        <v>311</v>
      </c>
      <c r="N27" s="99"/>
      <c r="O27" s="99" t="s">
        <v>255</v>
      </c>
      <c r="P27" s="165"/>
      <c r="Q27" s="111" t="s">
        <v>146</v>
      </c>
      <c r="R27" s="111" t="s">
        <v>146</v>
      </c>
      <c r="S27" s="111"/>
      <c r="T27" s="111" t="s">
        <v>43</v>
      </c>
      <c r="U27" s="96" t="s">
        <v>312</v>
      </c>
      <c r="V27" s="137">
        <v>44564</v>
      </c>
      <c r="W27" s="166"/>
      <c r="X27" s="166"/>
      <c r="Y27" s="111"/>
      <c r="Z27" s="96" t="s">
        <v>168</v>
      </c>
      <c r="AA27" s="99" t="s">
        <v>169</v>
      </c>
      <c r="AB27" s="96" t="s">
        <v>313</v>
      </c>
      <c r="AC27" s="96"/>
      <c r="AD27" s="97">
        <v>44589</v>
      </c>
      <c r="AE27" s="362" t="s">
        <v>4431</v>
      </c>
      <c r="AF27" s="98"/>
      <c r="AG27" s="166">
        <f t="shared" si="9"/>
        <v>30</v>
      </c>
      <c r="AH27" s="166">
        <f t="shared" si="10"/>
        <v>25</v>
      </c>
      <c r="AI27" s="99" t="s">
        <v>258</v>
      </c>
      <c r="AJ27" s="96" t="s">
        <v>171</v>
      </c>
      <c r="AK27" s="99" t="s">
        <v>314</v>
      </c>
      <c r="AL27" s="97">
        <v>44586</v>
      </c>
      <c r="AM27" s="214">
        <v>96889800</v>
      </c>
      <c r="AN27" s="96" t="s">
        <v>315</v>
      </c>
      <c r="AO27" s="96"/>
      <c r="AP27" s="181">
        <f t="shared" si="11"/>
        <v>0</v>
      </c>
      <c r="AQ27" s="138"/>
      <c r="AR27" s="138"/>
      <c r="AS27" s="99" t="s">
        <v>146</v>
      </c>
      <c r="AT27" s="99" t="s">
        <v>146</v>
      </c>
      <c r="AU27" s="138"/>
      <c r="AV27" s="99" t="s">
        <v>174</v>
      </c>
      <c r="AW27" s="99" t="s">
        <v>175</v>
      </c>
      <c r="AX27" s="99"/>
      <c r="AY27" s="167">
        <f t="shared" ref="AY27:AY30" si="15">+AP27/K27</f>
        <v>0</v>
      </c>
      <c r="AZ27" s="139">
        <f t="shared" si="13"/>
        <v>1</v>
      </c>
      <c r="BA27" s="139">
        <f>IF(T27="Invitación Privada",1,IF(T27="Invitación Pública",2,0))</f>
        <v>1</v>
      </c>
      <c r="BB27" s="132">
        <f>IF(AA27="CONTRATADO",IF(BA27=1,NETWORKDAYS.INTL(E27,AD27,1,[1]FESTIVOS!$B$3:$B$10)-1,AD27-E27))-BD27</f>
        <v>21</v>
      </c>
      <c r="BC27" s="157"/>
      <c r="BD27" s="162">
        <v>0</v>
      </c>
      <c r="BE27" s="382" t="s">
        <v>2052</v>
      </c>
      <c r="BF27" s="161" t="str">
        <f>+AB27</f>
        <v>21 DE ENNERO EN REVISION DE INVITACION Y FP
24 de enero  se reciben la oferta el 25 de enero
26 DE ENERO EN APROBACION DE POLIZAS</v>
      </c>
    </row>
    <row r="28" spans="2:58" ht="43.9" customHeight="1" x14ac:dyDescent="0.25">
      <c r="B28" s="100">
        <f t="shared" si="12"/>
        <v>10</v>
      </c>
      <c r="C28" s="110" t="s">
        <v>316</v>
      </c>
      <c r="D28" s="99" t="s">
        <v>28</v>
      </c>
      <c r="E28" s="140">
        <v>44560</v>
      </c>
      <c r="F28" s="131" t="s">
        <v>4431</v>
      </c>
      <c r="G28" s="96" t="s">
        <v>317</v>
      </c>
      <c r="H28" s="96" t="s">
        <v>318</v>
      </c>
      <c r="I28" s="164" t="s">
        <v>146</v>
      </c>
      <c r="J28" s="133" t="s">
        <v>319</v>
      </c>
      <c r="K28" s="341">
        <v>148818450</v>
      </c>
      <c r="L28" s="96" t="s">
        <v>320</v>
      </c>
      <c r="M28" s="96" t="s">
        <v>321</v>
      </c>
      <c r="N28" s="96"/>
      <c r="O28" s="99" t="s">
        <v>255</v>
      </c>
      <c r="P28" s="165"/>
      <c r="Q28" s="111" t="s">
        <v>146</v>
      </c>
      <c r="R28" s="111" t="s">
        <v>146</v>
      </c>
      <c r="S28" s="111"/>
      <c r="T28" s="111" t="s">
        <v>43</v>
      </c>
      <c r="U28" s="96" t="s">
        <v>312</v>
      </c>
      <c r="V28" s="137">
        <v>44564</v>
      </c>
      <c r="W28" s="166"/>
      <c r="X28" s="166"/>
      <c r="Y28" s="111"/>
      <c r="Z28" s="96" t="s">
        <v>168</v>
      </c>
      <c r="AA28" s="99" t="s">
        <v>169</v>
      </c>
      <c r="AB28" s="96" t="s">
        <v>322</v>
      </c>
      <c r="AC28" s="96"/>
      <c r="AD28" s="97">
        <v>44620</v>
      </c>
      <c r="AE28" s="362" t="s">
        <v>4431</v>
      </c>
      <c r="AF28" s="98"/>
      <c r="AG28" s="166">
        <f t="shared" si="9"/>
        <v>60</v>
      </c>
      <c r="AH28" s="166">
        <f t="shared" si="10"/>
        <v>56</v>
      </c>
      <c r="AI28" s="99" t="s">
        <v>258</v>
      </c>
      <c r="AJ28" s="96" t="s">
        <v>155</v>
      </c>
      <c r="AK28" s="99" t="s">
        <v>1004</v>
      </c>
      <c r="AL28" s="97">
        <v>44588</v>
      </c>
      <c r="AM28" s="214">
        <v>124137000</v>
      </c>
      <c r="AN28" s="96" t="s">
        <v>1005</v>
      </c>
      <c r="AO28" s="96"/>
      <c r="AP28" s="181">
        <f t="shared" si="11"/>
        <v>24681450</v>
      </c>
      <c r="AQ28" s="138"/>
      <c r="AR28" s="138"/>
      <c r="AS28" s="99" t="s">
        <v>146</v>
      </c>
      <c r="AT28" s="99" t="s">
        <v>146</v>
      </c>
      <c r="AU28" s="138"/>
      <c r="AV28" s="99" t="s">
        <v>174</v>
      </c>
      <c r="AW28" s="99" t="s">
        <v>175</v>
      </c>
      <c r="AX28" s="99"/>
      <c r="AY28" s="167">
        <f t="shared" si="15"/>
        <v>0.16584939568984894</v>
      </c>
      <c r="AZ28" s="139">
        <f t="shared" si="13"/>
        <v>1</v>
      </c>
      <c r="BA28" s="139">
        <f>IF(T28="Invitación Privada",1,IF(T28="Invitación Pública",2,0))</f>
        <v>1</v>
      </c>
      <c r="BB28" s="132">
        <f>IF(AA28="CONTRATADO",IF(BA28=1,NETWORKDAYS.INTL(E28,AD28,1,[1]FESTIVOS!$B$3:$B$10)-1,AD28-E28))-BD28</f>
        <v>41</v>
      </c>
      <c r="BC28" s="157"/>
      <c r="BD28" s="96">
        <v>0</v>
      </c>
      <c r="BE28" s="386" t="s">
        <v>2052</v>
      </c>
    </row>
    <row r="29" spans="2:58" ht="43.9" customHeight="1" x14ac:dyDescent="0.25">
      <c r="B29" s="100">
        <f t="shared" si="12"/>
        <v>11</v>
      </c>
      <c r="C29" s="110" t="s">
        <v>323</v>
      </c>
      <c r="D29" s="99" t="s">
        <v>324</v>
      </c>
      <c r="E29" s="140">
        <v>44560</v>
      </c>
      <c r="F29" s="131" t="s">
        <v>4431</v>
      </c>
      <c r="G29" s="96" t="s">
        <v>325</v>
      </c>
      <c r="H29" s="99" t="s">
        <v>326</v>
      </c>
      <c r="I29" s="164" t="s">
        <v>146</v>
      </c>
      <c r="J29" s="133" t="s">
        <v>327</v>
      </c>
      <c r="K29" s="341">
        <v>41000000</v>
      </c>
      <c r="L29" s="96" t="s">
        <v>328</v>
      </c>
      <c r="M29" s="99" t="s">
        <v>329</v>
      </c>
      <c r="N29" s="99"/>
      <c r="O29" s="99">
        <v>202201408</v>
      </c>
      <c r="P29" s="165">
        <v>45000000</v>
      </c>
      <c r="Q29" s="111" t="s">
        <v>146</v>
      </c>
      <c r="R29" s="111" t="s">
        <v>146</v>
      </c>
      <c r="S29" s="111"/>
      <c r="T29" s="111" t="s">
        <v>43</v>
      </c>
      <c r="U29" s="96" t="s">
        <v>35</v>
      </c>
      <c r="V29" s="137">
        <v>44564</v>
      </c>
      <c r="W29" s="166"/>
      <c r="X29" s="166"/>
      <c r="Y29" s="111"/>
      <c r="Z29" s="96" t="s">
        <v>168</v>
      </c>
      <c r="AA29" s="99" t="s">
        <v>169</v>
      </c>
      <c r="AB29" s="96" t="s">
        <v>330</v>
      </c>
      <c r="AC29" s="96"/>
      <c r="AD29" s="97">
        <v>44607</v>
      </c>
      <c r="AE29" s="362" t="s">
        <v>4431</v>
      </c>
      <c r="AF29" s="98"/>
      <c r="AG29" s="166">
        <f t="shared" si="9"/>
        <v>47</v>
      </c>
      <c r="AH29" s="166">
        <f t="shared" si="10"/>
        <v>43</v>
      </c>
      <c r="AI29" s="99" t="s">
        <v>258</v>
      </c>
      <c r="AJ29" s="96" t="s">
        <v>171</v>
      </c>
      <c r="AK29" s="99" t="s">
        <v>1006</v>
      </c>
      <c r="AL29" s="97">
        <v>44588</v>
      </c>
      <c r="AM29" s="214">
        <v>39612720</v>
      </c>
      <c r="AN29" s="96" t="s">
        <v>1007</v>
      </c>
      <c r="AO29" s="96"/>
      <c r="AP29" s="181">
        <f t="shared" si="11"/>
        <v>1387280</v>
      </c>
      <c r="AQ29" s="138"/>
      <c r="AR29" s="138"/>
      <c r="AS29" s="99" t="s">
        <v>146</v>
      </c>
      <c r="AT29" s="99" t="s">
        <v>146</v>
      </c>
      <c r="AU29" s="138"/>
      <c r="AV29" s="99" t="s">
        <v>1010</v>
      </c>
      <c r="AW29" s="99" t="s">
        <v>692</v>
      </c>
      <c r="AX29" s="99"/>
      <c r="AY29" s="167">
        <f t="shared" si="15"/>
        <v>3.3836097560975609E-2</v>
      </c>
      <c r="AZ29" s="139">
        <f t="shared" si="13"/>
        <v>0</v>
      </c>
      <c r="BA29" s="139">
        <f>IF(T29="Invitación Privada",1,IF(T29="Invitación Pública",2,0))</f>
        <v>1</v>
      </c>
      <c r="BB29" s="132">
        <f>IF(AA29="CONTRATADO",IF(BA29=1,NETWORKDAYS.INTL(E29,AD29,1,[1]FESTIVOS!$B$3:$B$10)-1,AD29-E29))-BD29</f>
        <v>32</v>
      </c>
      <c r="BC29" s="157"/>
      <c r="BD29" s="96">
        <v>0</v>
      </c>
      <c r="BE29" s="386" t="s">
        <v>2052</v>
      </c>
      <c r="BF29" s="160"/>
    </row>
    <row r="30" spans="2:58" ht="43.9" customHeight="1" x14ac:dyDescent="0.25">
      <c r="B30" s="100">
        <f t="shared" si="12"/>
        <v>12</v>
      </c>
      <c r="C30" s="110" t="s">
        <v>331</v>
      </c>
      <c r="D30" s="99" t="s">
        <v>332</v>
      </c>
      <c r="E30" s="140">
        <v>44560</v>
      </c>
      <c r="F30" s="131" t="s">
        <v>4431</v>
      </c>
      <c r="G30" s="96" t="s">
        <v>333</v>
      </c>
      <c r="H30" s="96" t="s">
        <v>334</v>
      </c>
      <c r="I30" s="164" t="s">
        <v>146</v>
      </c>
      <c r="J30" s="133" t="s">
        <v>335</v>
      </c>
      <c r="K30" s="341">
        <v>11200000</v>
      </c>
      <c r="L30" s="96" t="s">
        <v>328</v>
      </c>
      <c r="M30" s="99" t="s">
        <v>336</v>
      </c>
      <c r="N30" s="99"/>
      <c r="O30" s="99">
        <v>202201117</v>
      </c>
      <c r="P30" s="165">
        <v>11208500</v>
      </c>
      <c r="Q30" s="111" t="s">
        <v>146</v>
      </c>
      <c r="R30" s="111" t="s">
        <v>146</v>
      </c>
      <c r="S30" s="111"/>
      <c r="T30" s="111" t="s">
        <v>43</v>
      </c>
      <c r="U30" s="96" t="s">
        <v>337</v>
      </c>
      <c r="V30" s="137">
        <v>44564</v>
      </c>
      <c r="W30" s="166"/>
      <c r="X30" s="166"/>
      <c r="Y30" s="111"/>
      <c r="Z30" s="96" t="s">
        <v>168</v>
      </c>
      <c r="AA30" s="99" t="s">
        <v>169</v>
      </c>
      <c r="AB30" s="96" t="s">
        <v>338</v>
      </c>
      <c r="AC30" s="96"/>
      <c r="AD30" s="97">
        <v>44594</v>
      </c>
      <c r="AE30" s="362" t="s">
        <v>4431</v>
      </c>
      <c r="AF30" s="98"/>
      <c r="AG30" s="166">
        <f t="shared" si="9"/>
        <v>34</v>
      </c>
      <c r="AH30" s="166">
        <f t="shared" si="10"/>
        <v>30</v>
      </c>
      <c r="AI30" s="99" t="s">
        <v>258</v>
      </c>
      <c r="AJ30" s="96" t="s">
        <v>171</v>
      </c>
      <c r="AK30" s="99" t="s">
        <v>1008</v>
      </c>
      <c r="AL30" s="97">
        <v>44588</v>
      </c>
      <c r="AM30" s="214">
        <v>11200000</v>
      </c>
      <c r="AN30" s="96" t="s">
        <v>1009</v>
      </c>
      <c r="AO30" s="96"/>
      <c r="AP30" s="181">
        <f t="shared" si="11"/>
        <v>0</v>
      </c>
      <c r="AQ30" s="138"/>
      <c r="AR30" s="138"/>
      <c r="AS30" s="99" t="s">
        <v>146</v>
      </c>
      <c r="AT30" s="99" t="s">
        <v>146</v>
      </c>
      <c r="AU30" s="138"/>
      <c r="AV30" s="99" t="s">
        <v>174</v>
      </c>
      <c r="AW30" s="99" t="s">
        <v>175</v>
      </c>
      <c r="AX30" s="99"/>
      <c r="AY30" s="167">
        <f t="shared" si="15"/>
        <v>0</v>
      </c>
      <c r="AZ30" s="139">
        <f t="shared" si="13"/>
        <v>0</v>
      </c>
      <c r="BA30" s="139">
        <f>IF(T30="Invitación Privada",1,IF(T30="Invitación Pública",2,0))</f>
        <v>1</v>
      </c>
      <c r="BB30" s="132">
        <f>IF(AA30="CONTRATADO",IF(BA30=1,NETWORKDAYS.INTL(E30,AD30,1,[1]FESTIVOS!$B$3:$B$10)-1,AD30-E30))-BD30</f>
        <v>23</v>
      </c>
      <c r="BC30" s="157"/>
      <c r="BD30" s="96">
        <v>0</v>
      </c>
      <c r="BE30" s="386" t="s">
        <v>2052</v>
      </c>
      <c r="BF30" s="160"/>
    </row>
    <row r="31" spans="2:58" ht="43.9" customHeight="1" x14ac:dyDescent="0.25">
      <c r="B31" s="100">
        <f t="shared" si="12"/>
        <v>13</v>
      </c>
      <c r="C31" s="293" t="s">
        <v>339</v>
      </c>
      <c r="D31" s="265" t="s">
        <v>332</v>
      </c>
      <c r="E31" s="272">
        <v>44560</v>
      </c>
      <c r="F31" s="131" t="s">
        <v>4431</v>
      </c>
      <c r="G31" s="269" t="s">
        <v>340</v>
      </c>
      <c r="H31" s="265" t="s">
        <v>341</v>
      </c>
      <c r="I31" s="319" t="s">
        <v>146</v>
      </c>
      <c r="J31" s="269" t="s">
        <v>342</v>
      </c>
      <c r="K31" s="342">
        <v>349318315</v>
      </c>
      <c r="L31" s="282" t="s">
        <v>328</v>
      </c>
      <c r="M31" s="265" t="s">
        <v>343</v>
      </c>
      <c r="N31" s="302" t="str">
        <f>MID(M31,5,3)</f>
        <v>IP-</v>
      </c>
      <c r="O31" s="320">
        <v>202201121</v>
      </c>
      <c r="P31" s="271">
        <v>350000000</v>
      </c>
      <c r="Q31" s="312" t="s">
        <v>146</v>
      </c>
      <c r="R31" s="312" t="s">
        <v>146</v>
      </c>
      <c r="S31" s="312" t="s">
        <v>146</v>
      </c>
      <c r="T31" s="111" t="s">
        <v>43</v>
      </c>
      <c r="U31" s="269" t="s">
        <v>4012</v>
      </c>
      <c r="V31" s="284">
        <v>44564</v>
      </c>
      <c r="W31" s="303" t="e">
        <f>+$D$4-E31</f>
        <v>#VALUE!</v>
      </c>
      <c r="X31" s="303" t="e">
        <f>$D$4-V31</f>
        <v>#VALUE!</v>
      </c>
      <c r="Y31" s="312" t="s">
        <v>1300</v>
      </c>
      <c r="Z31" s="265" t="s">
        <v>152</v>
      </c>
      <c r="AA31" s="265" t="s">
        <v>153</v>
      </c>
      <c r="AB31" s="265"/>
      <c r="AC31" s="304" t="s">
        <v>344</v>
      </c>
      <c r="AD31" s="285">
        <v>44589</v>
      </c>
      <c r="AE31" s="285"/>
      <c r="AF31" s="305" t="str">
        <f>+IF(AD31="","",TEXT(AD31,"mmm"))</f>
        <v>ene</v>
      </c>
      <c r="AG31" s="306">
        <f t="shared" si="9"/>
        <v>29</v>
      </c>
      <c r="AH31" s="307">
        <f t="shared" si="10"/>
        <v>25</v>
      </c>
      <c r="AI31" s="265" t="s">
        <v>258</v>
      </c>
      <c r="AJ31" s="265" t="s">
        <v>171</v>
      </c>
      <c r="AK31" s="277"/>
      <c r="AL31" s="277"/>
      <c r="AM31" s="277"/>
      <c r="AN31" s="309"/>
      <c r="AO31" s="289"/>
      <c r="AP31" s="277"/>
      <c r="AQ31" s="309">
        <f>+K31-AN31</f>
        <v>349318315</v>
      </c>
      <c r="AR31" s="289"/>
      <c r="AS31" s="289"/>
      <c r="AT31" s="277"/>
      <c r="AU31" s="260"/>
      <c r="AV31" s="260"/>
      <c r="AW31" s="200"/>
      <c r="AX31" s="200"/>
      <c r="AY31" s="200"/>
      <c r="AZ31" s="139">
        <f t="shared" si="13"/>
        <v>0</v>
      </c>
      <c r="BA31" s="200"/>
      <c r="BB31" s="200"/>
      <c r="BC31" s="207"/>
      <c r="BD31" s="217"/>
      <c r="BE31" s="200"/>
      <c r="BF31" s="160"/>
    </row>
    <row r="32" spans="2:58" ht="43.9" customHeight="1" x14ac:dyDescent="0.25">
      <c r="B32" s="100">
        <f t="shared" si="12"/>
        <v>14</v>
      </c>
      <c r="C32" s="110" t="s">
        <v>345</v>
      </c>
      <c r="D32" s="99" t="s">
        <v>332</v>
      </c>
      <c r="E32" s="140">
        <v>44560</v>
      </c>
      <c r="F32" s="131" t="s">
        <v>4431</v>
      </c>
      <c r="G32" s="96" t="s">
        <v>346</v>
      </c>
      <c r="H32" s="96" t="s">
        <v>347</v>
      </c>
      <c r="I32" s="164" t="s">
        <v>146</v>
      </c>
      <c r="J32" s="133" t="s">
        <v>348</v>
      </c>
      <c r="K32" s="341">
        <v>247069000</v>
      </c>
      <c r="L32" s="96" t="s">
        <v>328</v>
      </c>
      <c r="M32" s="99" t="s">
        <v>349</v>
      </c>
      <c r="N32" s="99"/>
      <c r="O32" s="99">
        <v>202201116</v>
      </c>
      <c r="P32" s="165">
        <v>247069000</v>
      </c>
      <c r="Q32" s="111" t="s">
        <v>146</v>
      </c>
      <c r="R32" s="111" t="s">
        <v>146</v>
      </c>
      <c r="S32" s="111"/>
      <c r="T32" s="111" t="s">
        <v>43</v>
      </c>
      <c r="U32" s="96" t="s">
        <v>337</v>
      </c>
      <c r="V32" s="137">
        <v>44565</v>
      </c>
      <c r="W32" s="166"/>
      <c r="X32" s="166"/>
      <c r="Y32" s="111"/>
      <c r="Z32" s="96" t="s">
        <v>168</v>
      </c>
      <c r="AA32" s="99" t="s">
        <v>169</v>
      </c>
      <c r="AB32" s="96" t="s">
        <v>1011</v>
      </c>
      <c r="AC32" s="96"/>
      <c r="AD32" s="97">
        <v>44595</v>
      </c>
      <c r="AE32" s="362" t="s">
        <v>4431</v>
      </c>
      <c r="AF32" s="98"/>
      <c r="AG32" s="166">
        <f t="shared" si="9"/>
        <v>35</v>
      </c>
      <c r="AH32" s="166">
        <f t="shared" si="10"/>
        <v>30</v>
      </c>
      <c r="AI32" s="99" t="s">
        <v>258</v>
      </c>
      <c r="AJ32" s="96" t="s">
        <v>171</v>
      </c>
      <c r="AK32" s="99" t="s">
        <v>1012</v>
      </c>
      <c r="AL32" s="97">
        <v>44588</v>
      </c>
      <c r="AM32" s="214">
        <v>247069000</v>
      </c>
      <c r="AN32" s="96" t="s">
        <v>1013</v>
      </c>
      <c r="AO32" s="96"/>
      <c r="AP32" s="181">
        <f t="shared" si="11"/>
        <v>0</v>
      </c>
      <c r="AQ32" s="138"/>
      <c r="AR32" s="138"/>
      <c r="AS32" s="99" t="s">
        <v>146</v>
      </c>
      <c r="AT32" s="99" t="s">
        <v>146</v>
      </c>
      <c r="AU32" s="138"/>
      <c r="AV32" s="99" t="s">
        <v>174</v>
      </c>
      <c r="AW32" s="99" t="s">
        <v>175</v>
      </c>
      <c r="AX32" s="99"/>
      <c r="AY32" s="167">
        <f t="shared" ref="AY32:AY33" si="16">+AP32/K32</f>
        <v>0</v>
      </c>
      <c r="AZ32" s="139">
        <f t="shared" si="13"/>
        <v>0</v>
      </c>
      <c r="BA32" s="139">
        <f>IF(T32="Invitación Privada",1,IF(T32="Invitación Pública",2,0))</f>
        <v>1</v>
      </c>
      <c r="BB32" s="132">
        <f>IF(AA32="CONTRATADO",IF(BA32=1,NETWORKDAYS.INTL(E32,AD32,1,[1]FESTIVOS!$B$3:$B$10)-1,AD32-E32))-BD32</f>
        <v>24</v>
      </c>
      <c r="BC32" s="157"/>
      <c r="BD32" s="162">
        <v>0</v>
      </c>
      <c r="BE32" s="382" t="s">
        <v>2052</v>
      </c>
      <c r="BF32" s="160"/>
    </row>
    <row r="33" spans="2:58" ht="43.9" customHeight="1" x14ac:dyDescent="0.25">
      <c r="B33" s="100">
        <f t="shared" si="12"/>
        <v>15</v>
      </c>
      <c r="C33" s="110" t="s">
        <v>350</v>
      </c>
      <c r="D33" s="99" t="s">
        <v>332</v>
      </c>
      <c r="E33" s="140">
        <v>44560</v>
      </c>
      <c r="F33" s="131" t="s">
        <v>4431</v>
      </c>
      <c r="G33" s="96" t="s">
        <v>351</v>
      </c>
      <c r="H33" s="96" t="s">
        <v>352</v>
      </c>
      <c r="I33" s="164" t="s">
        <v>146</v>
      </c>
      <c r="J33" s="133" t="s">
        <v>353</v>
      </c>
      <c r="K33" s="341">
        <v>46725000</v>
      </c>
      <c r="L33" s="96" t="s">
        <v>328</v>
      </c>
      <c r="M33" s="99" t="s">
        <v>354</v>
      </c>
      <c r="N33" s="99"/>
      <c r="O33" s="99">
        <v>202201825</v>
      </c>
      <c r="P33" s="165">
        <v>46725000</v>
      </c>
      <c r="Q33" s="111" t="s">
        <v>146</v>
      </c>
      <c r="R33" s="111" t="s">
        <v>146</v>
      </c>
      <c r="S33" s="111"/>
      <c r="T33" s="111" t="s">
        <v>43</v>
      </c>
      <c r="U33" s="96" t="s">
        <v>337</v>
      </c>
      <c r="V33" s="137">
        <v>44578</v>
      </c>
      <c r="W33" s="166"/>
      <c r="X33" s="166"/>
      <c r="Y33" s="111"/>
      <c r="Z33" s="96" t="s">
        <v>168</v>
      </c>
      <c r="AA33" s="99" t="s">
        <v>169</v>
      </c>
      <c r="AB33" s="96" t="s">
        <v>355</v>
      </c>
      <c r="AC33" s="96"/>
      <c r="AD33" s="97">
        <v>44593</v>
      </c>
      <c r="AE33" s="362" t="s">
        <v>4431</v>
      </c>
      <c r="AF33" s="98"/>
      <c r="AG33" s="166">
        <f t="shared" si="9"/>
        <v>33</v>
      </c>
      <c r="AH33" s="166">
        <f t="shared" si="10"/>
        <v>15</v>
      </c>
      <c r="AI33" s="99" t="s">
        <v>258</v>
      </c>
      <c r="AJ33" s="96" t="s">
        <v>171</v>
      </c>
      <c r="AK33" s="99" t="s">
        <v>356</v>
      </c>
      <c r="AL33" s="97">
        <v>44588</v>
      </c>
      <c r="AM33" s="214">
        <v>46725000</v>
      </c>
      <c r="AN33" s="96" t="s">
        <v>357</v>
      </c>
      <c r="AO33" s="96"/>
      <c r="AP33" s="181">
        <f t="shared" si="11"/>
        <v>0</v>
      </c>
      <c r="AQ33" s="138"/>
      <c r="AR33" s="138"/>
      <c r="AS33" s="99" t="s">
        <v>146</v>
      </c>
      <c r="AT33" s="99" t="s">
        <v>146</v>
      </c>
      <c r="AU33" s="138"/>
      <c r="AV33" s="99" t="s">
        <v>174</v>
      </c>
      <c r="AW33" s="99" t="s">
        <v>175</v>
      </c>
      <c r="AX33" s="99"/>
      <c r="AY33" s="167">
        <f t="shared" si="16"/>
        <v>0</v>
      </c>
      <c r="AZ33" s="139">
        <f t="shared" si="13"/>
        <v>0</v>
      </c>
      <c r="BA33" s="139">
        <f>IF(T33="Invitación Privada",1,IF(T33="Invitación Pública",2,0))</f>
        <v>1</v>
      </c>
      <c r="BB33" s="132">
        <f>IF(AA33="CONTRATADO",IF(BA33=1,NETWORKDAYS.INTL(E33,AD33,1,[1]FESTIVOS!$B$3:$B$10)-1,AD33-E33))-BD33</f>
        <v>22</v>
      </c>
      <c r="BC33" s="157"/>
      <c r="BD33" s="96">
        <v>0</v>
      </c>
      <c r="BE33" s="386" t="s">
        <v>2052</v>
      </c>
      <c r="BF33" s="160"/>
    </row>
    <row r="34" spans="2:58" ht="43.9" customHeight="1" x14ac:dyDescent="0.25">
      <c r="B34" s="100">
        <f t="shared" si="12"/>
        <v>16</v>
      </c>
      <c r="C34" s="293" t="s">
        <v>358</v>
      </c>
      <c r="D34" s="265" t="s">
        <v>359</v>
      </c>
      <c r="E34" s="272">
        <v>44564</v>
      </c>
      <c r="F34" s="268" t="s">
        <v>4431</v>
      </c>
      <c r="G34" s="269" t="s">
        <v>360</v>
      </c>
      <c r="H34" s="265" t="s">
        <v>361</v>
      </c>
      <c r="I34" s="319" t="s">
        <v>146</v>
      </c>
      <c r="J34" s="269" t="s">
        <v>362</v>
      </c>
      <c r="K34" s="342">
        <v>320000000</v>
      </c>
      <c r="L34" s="282" t="s">
        <v>363</v>
      </c>
      <c r="M34" s="265"/>
      <c r="N34" s="302" t="str">
        <f t="shared" ref="N34:N40" si="17">MID(M34,5,3)</f>
        <v/>
      </c>
      <c r="O34" s="320" t="s">
        <v>255</v>
      </c>
      <c r="P34" s="271" t="s">
        <v>146</v>
      </c>
      <c r="Q34" s="312" t="s">
        <v>146</v>
      </c>
      <c r="R34" s="312" t="s">
        <v>146</v>
      </c>
      <c r="S34" s="312" t="s">
        <v>146</v>
      </c>
      <c r="T34" s="280" t="str">
        <f t="shared" ref="T34:T40" si="18">(IF(N34="IPU","INVITACION PUBLICA",(IF(N34="IP-","INVITACION PRIVADA"," "))))</f>
        <v xml:space="preserve"> </v>
      </c>
      <c r="U34" s="269" t="s">
        <v>364</v>
      </c>
      <c r="V34" s="284">
        <v>44565</v>
      </c>
      <c r="W34" s="303" t="e">
        <f t="shared" ref="W34:W40" si="19">+$D$4-E34</f>
        <v>#VALUE!</v>
      </c>
      <c r="X34" s="303" t="e">
        <f t="shared" ref="X34:X40" si="20">$D$4-V34</f>
        <v>#VALUE!</v>
      </c>
      <c r="Y34" s="312" t="s">
        <v>1300</v>
      </c>
      <c r="Z34" s="265" t="s">
        <v>214</v>
      </c>
      <c r="AA34" s="265" t="s">
        <v>215</v>
      </c>
      <c r="AB34" s="265"/>
      <c r="AC34" s="304" t="s">
        <v>365</v>
      </c>
      <c r="AD34" s="272">
        <v>44589</v>
      </c>
      <c r="AE34" s="272"/>
      <c r="AF34" s="305" t="str">
        <f t="shared" ref="AF34:AF40" si="21">+IF(AD34="","",TEXT(AD34,"mmm"))</f>
        <v>ene</v>
      </c>
      <c r="AG34" s="306">
        <f t="shared" si="9"/>
        <v>25</v>
      </c>
      <c r="AH34" s="307">
        <f t="shared" si="10"/>
        <v>24</v>
      </c>
      <c r="AI34" s="265" t="s">
        <v>258</v>
      </c>
      <c r="AJ34" s="265" t="s">
        <v>171</v>
      </c>
      <c r="AK34" s="277"/>
      <c r="AL34" s="277"/>
      <c r="AM34" s="309"/>
      <c r="AN34" s="269"/>
      <c r="AO34" s="277"/>
      <c r="AP34" s="309">
        <f t="shared" ref="AP34:AP68" si="22">+K34-AM34</f>
        <v>320000000</v>
      </c>
      <c r="AQ34" s="289"/>
      <c r="AR34" s="289"/>
      <c r="AS34" s="277"/>
      <c r="AT34" s="260"/>
      <c r="AU34" s="260"/>
      <c r="AV34" s="200"/>
      <c r="AW34" s="200"/>
      <c r="AX34" s="200"/>
      <c r="AY34" s="200"/>
      <c r="AZ34" s="139">
        <f t="shared" si="13"/>
        <v>0</v>
      </c>
      <c r="BA34" s="200"/>
      <c r="BB34" s="203"/>
      <c r="BC34" s="95"/>
      <c r="BD34" s="200"/>
      <c r="BE34" s="200"/>
    </row>
    <row r="35" spans="2:58" ht="43.9" customHeight="1" x14ac:dyDescent="0.25">
      <c r="B35" s="100">
        <f t="shared" si="12"/>
        <v>17</v>
      </c>
      <c r="C35" s="293" t="s">
        <v>366</v>
      </c>
      <c r="D35" s="265" t="s">
        <v>359</v>
      </c>
      <c r="E35" s="272">
        <v>44564</v>
      </c>
      <c r="F35" s="268" t="s">
        <v>4431</v>
      </c>
      <c r="G35" s="269" t="s">
        <v>367</v>
      </c>
      <c r="H35" s="265" t="s">
        <v>368</v>
      </c>
      <c r="I35" s="319" t="s">
        <v>146</v>
      </c>
      <c r="J35" s="269" t="s">
        <v>369</v>
      </c>
      <c r="K35" s="342">
        <v>287471000</v>
      </c>
      <c r="L35" s="282" t="s">
        <v>363</v>
      </c>
      <c r="M35" s="265"/>
      <c r="N35" s="302" t="str">
        <f t="shared" si="17"/>
        <v/>
      </c>
      <c r="O35" s="320" t="s">
        <v>255</v>
      </c>
      <c r="P35" s="271" t="s">
        <v>146</v>
      </c>
      <c r="Q35" s="312" t="s">
        <v>146</v>
      </c>
      <c r="R35" s="312" t="s">
        <v>146</v>
      </c>
      <c r="S35" s="312" t="s">
        <v>146</v>
      </c>
      <c r="T35" s="280" t="str">
        <f t="shared" si="18"/>
        <v xml:space="preserve"> </v>
      </c>
      <c r="U35" s="269" t="s">
        <v>364</v>
      </c>
      <c r="V35" s="284">
        <v>44565</v>
      </c>
      <c r="W35" s="303" t="e">
        <f t="shared" si="19"/>
        <v>#VALUE!</v>
      </c>
      <c r="X35" s="303" t="e">
        <f t="shared" si="20"/>
        <v>#VALUE!</v>
      </c>
      <c r="Y35" s="312" t="s">
        <v>1300</v>
      </c>
      <c r="Z35" s="265" t="s">
        <v>214</v>
      </c>
      <c r="AA35" s="265" t="s">
        <v>215</v>
      </c>
      <c r="AB35" s="265"/>
      <c r="AC35" s="304" t="s">
        <v>365</v>
      </c>
      <c r="AD35" s="272">
        <v>44589</v>
      </c>
      <c r="AE35" s="272"/>
      <c r="AF35" s="305" t="str">
        <f t="shared" si="21"/>
        <v>ene</v>
      </c>
      <c r="AG35" s="306">
        <f t="shared" si="9"/>
        <v>25</v>
      </c>
      <c r="AH35" s="307">
        <f t="shared" si="10"/>
        <v>24</v>
      </c>
      <c r="AI35" s="265" t="s">
        <v>258</v>
      </c>
      <c r="AJ35" s="265" t="s">
        <v>171</v>
      </c>
      <c r="AK35" s="277"/>
      <c r="AL35" s="277"/>
      <c r="AM35" s="309"/>
      <c r="AN35" s="269"/>
      <c r="AO35" s="277"/>
      <c r="AP35" s="309">
        <f t="shared" si="22"/>
        <v>287471000</v>
      </c>
      <c r="AQ35" s="289"/>
      <c r="AR35" s="289"/>
      <c r="AS35" s="277"/>
      <c r="AT35" s="260"/>
      <c r="AU35" s="260"/>
      <c r="AV35" s="200"/>
      <c r="AW35" s="200"/>
      <c r="AX35" s="200"/>
      <c r="AY35" s="200"/>
      <c r="AZ35" s="139">
        <f t="shared" si="13"/>
        <v>0</v>
      </c>
      <c r="BA35" s="200"/>
      <c r="BB35" s="203"/>
      <c r="BC35" s="95"/>
      <c r="BD35" s="200"/>
      <c r="BE35" s="200"/>
      <c r="BF35" s="159"/>
    </row>
    <row r="36" spans="2:58" ht="43.9" customHeight="1" x14ac:dyDescent="0.25">
      <c r="B36" s="100">
        <f t="shared" si="12"/>
        <v>18</v>
      </c>
      <c r="C36" s="293" t="s">
        <v>370</v>
      </c>
      <c r="D36" s="265" t="s">
        <v>359</v>
      </c>
      <c r="E36" s="272">
        <v>44564</v>
      </c>
      <c r="F36" s="268" t="s">
        <v>4431</v>
      </c>
      <c r="G36" s="269" t="s">
        <v>371</v>
      </c>
      <c r="H36" s="265" t="s">
        <v>372</v>
      </c>
      <c r="I36" s="319" t="s">
        <v>146</v>
      </c>
      <c r="J36" s="269" t="s">
        <v>373</v>
      </c>
      <c r="K36" s="342">
        <v>350000000</v>
      </c>
      <c r="L36" s="282"/>
      <c r="M36" s="265"/>
      <c r="N36" s="302" t="str">
        <f t="shared" si="17"/>
        <v/>
      </c>
      <c r="O36" s="320" t="s">
        <v>255</v>
      </c>
      <c r="P36" s="271"/>
      <c r="Q36" s="312" t="s">
        <v>146</v>
      </c>
      <c r="R36" s="312" t="s">
        <v>146</v>
      </c>
      <c r="S36" s="312" t="s">
        <v>146</v>
      </c>
      <c r="T36" s="280" t="str">
        <f t="shared" si="18"/>
        <v xml:space="preserve"> </v>
      </c>
      <c r="U36" s="269" t="s">
        <v>206</v>
      </c>
      <c r="V36" s="284">
        <v>44567</v>
      </c>
      <c r="W36" s="303" t="e">
        <f t="shared" si="19"/>
        <v>#VALUE!</v>
      </c>
      <c r="X36" s="303" t="e">
        <f t="shared" si="20"/>
        <v>#VALUE!</v>
      </c>
      <c r="Y36" s="312" t="s">
        <v>1300</v>
      </c>
      <c r="Z36" s="265" t="s">
        <v>214</v>
      </c>
      <c r="AA36" s="265" t="s">
        <v>215</v>
      </c>
      <c r="AB36" s="265"/>
      <c r="AC36" s="304" t="s">
        <v>374</v>
      </c>
      <c r="AD36" s="285">
        <v>44578</v>
      </c>
      <c r="AE36" s="285"/>
      <c r="AF36" s="305" t="str">
        <f t="shared" si="21"/>
        <v>ene</v>
      </c>
      <c r="AG36" s="306">
        <f t="shared" si="9"/>
        <v>14</v>
      </c>
      <c r="AH36" s="307">
        <f t="shared" si="10"/>
        <v>11</v>
      </c>
      <c r="AI36" s="265" t="s">
        <v>258</v>
      </c>
      <c r="AJ36" s="265" t="s">
        <v>171</v>
      </c>
      <c r="AK36" s="277"/>
      <c r="AL36" s="277"/>
      <c r="AM36" s="309"/>
      <c r="AN36" s="269"/>
      <c r="AO36" s="277"/>
      <c r="AP36" s="309">
        <f t="shared" si="22"/>
        <v>350000000</v>
      </c>
      <c r="AQ36" s="289"/>
      <c r="AR36" s="289"/>
      <c r="AS36" s="277"/>
      <c r="AT36" s="260"/>
      <c r="AU36" s="260"/>
      <c r="AV36" s="200"/>
      <c r="AW36" s="200"/>
      <c r="AX36" s="200"/>
      <c r="AY36" s="200"/>
      <c r="AZ36" s="139">
        <f t="shared" si="13"/>
        <v>0</v>
      </c>
      <c r="BA36" s="200"/>
      <c r="BB36" s="203"/>
      <c r="BC36" s="95"/>
      <c r="BD36" s="200"/>
      <c r="BE36" s="200"/>
    </row>
    <row r="37" spans="2:58" ht="43.9" customHeight="1" x14ac:dyDescent="0.25">
      <c r="B37" s="100">
        <f t="shared" si="12"/>
        <v>19</v>
      </c>
      <c r="C37" s="293" t="s">
        <v>375</v>
      </c>
      <c r="D37" s="265" t="s">
        <v>359</v>
      </c>
      <c r="E37" s="272">
        <v>44564</v>
      </c>
      <c r="F37" s="268" t="s">
        <v>4431</v>
      </c>
      <c r="G37" s="269" t="s">
        <v>376</v>
      </c>
      <c r="H37" s="265" t="s">
        <v>377</v>
      </c>
      <c r="I37" s="319" t="s">
        <v>146</v>
      </c>
      <c r="J37" s="269" t="s">
        <v>378</v>
      </c>
      <c r="K37" s="342">
        <v>349698036</v>
      </c>
      <c r="L37" s="282"/>
      <c r="M37" s="265"/>
      <c r="N37" s="302" t="str">
        <f t="shared" si="17"/>
        <v/>
      </c>
      <c r="O37" s="320" t="s">
        <v>255</v>
      </c>
      <c r="P37" s="271" t="s">
        <v>146</v>
      </c>
      <c r="Q37" s="312" t="s">
        <v>146</v>
      </c>
      <c r="R37" s="312" t="s">
        <v>146</v>
      </c>
      <c r="S37" s="312" t="s">
        <v>146</v>
      </c>
      <c r="T37" s="280" t="str">
        <f t="shared" si="18"/>
        <v xml:space="preserve"> </v>
      </c>
      <c r="U37" s="269" t="s">
        <v>364</v>
      </c>
      <c r="V37" s="284">
        <v>44567</v>
      </c>
      <c r="W37" s="303" t="e">
        <f t="shared" si="19"/>
        <v>#VALUE!</v>
      </c>
      <c r="X37" s="303" t="e">
        <f t="shared" si="20"/>
        <v>#VALUE!</v>
      </c>
      <c r="Y37" s="312" t="s">
        <v>1300</v>
      </c>
      <c r="Z37" s="265" t="s">
        <v>214</v>
      </c>
      <c r="AA37" s="265" t="s">
        <v>215</v>
      </c>
      <c r="AB37" s="265"/>
      <c r="AC37" s="304" t="s">
        <v>379</v>
      </c>
      <c r="AD37" s="285">
        <v>44578</v>
      </c>
      <c r="AE37" s="285"/>
      <c r="AF37" s="305" t="str">
        <f t="shared" si="21"/>
        <v>ene</v>
      </c>
      <c r="AG37" s="306">
        <f t="shared" si="9"/>
        <v>14</v>
      </c>
      <c r="AH37" s="307">
        <f t="shared" si="10"/>
        <v>11</v>
      </c>
      <c r="AI37" s="265" t="s">
        <v>258</v>
      </c>
      <c r="AJ37" s="265" t="s">
        <v>171</v>
      </c>
      <c r="AK37" s="277"/>
      <c r="AL37" s="277"/>
      <c r="AM37" s="309"/>
      <c r="AN37" s="269"/>
      <c r="AO37" s="277"/>
      <c r="AP37" s="309">
        <f t="shared" si="22"/>
        <v>349698036</v>
      </c>
      <c r="AQ37" s="289"/>
      <c r="AR37" s="289"/>
      <c r="AS37" s="277"/>
      <c r="AT37" s="260"/>
      <c r="AU37" s="260"/>
      <c r="AV37" s="200"/>
      <c r="AW37" s="200"/>
      <c r="AX37" s="200"/>
      <c r="AY37" s="200"/>
      <c r="AZ37" s="139">
        <f t="shared" si="13"/>
        <v>0</v>
      </c>
      <c r="BA37" s="200"/>
      <c r="BB37" s="203"/>
      <c r="BC37" s="95"/>
      <c r="BD37" s="200"/>
      <c r="BE37" s="200"/>
      <c r="BF37" s="159"/>
    </row>
    <row r="38" spans="2:58" ht="43.9" customHeight="1" x14ac:dyDescent="0.25">
      <c r="B38" s="100">
        <f t="shared" si="12"/>
        <v>20</v>
      </c>
      <c r="C38" s="293" t="s">
        <v>380</v>
      </c>
      <c r="D38" s="265" t="s">
        <v>359</v>
      </c>
      <c r="E38" s="272">
        <v>44564</v>
      </c>
      <c r="F38" s="268" t="s">
        <v>4431</v>
      </c>
      <c r="G38" s="269" t="s">
        <v>381</v>
      </c>
      <c r="H38" s="265" t="s">
        <v>382</v>
      </c>
      <c r="I38" s="319" t="s">
        <v>146</v>
      </c>
      <c r="J38" s="269" t="s">
        <v>383</v>
      </c>
      <c r="K38" s="342">
        <v>214140187</v>
      </c>
      <c r="L38" s="282"/>
      <c r="M38" s="265"/>
      <c r="N38" s="302" t="str">
        <f t="shared" si="17"/>
        <v/>
      </c>
      <c r="O38" s="320" t="s">
        <v>255</v>
      </c>
      <c r="P38" s="271"/>
      <c r="Q38" s="312" t="s">
        <v>146</v>
      </c>
      <c r="R38" s="312" t="s">
        <v>146</v>
      </c>
      <c r="S38" s="312" t="s">
        <v>146</v>
      </c>
      <c r="T38" s="280" t="str">
        <f t="shared" si="18"/>
        <v xml:space="preserve"> </v>
      </c>
      <c r="U38" s="269" t="s">
        <v>206</v>
      </c>
      <c r="V38" s="284">
        <v>44202</v>
      </c>
      <c r="W38" s="303" t="e">
        <f t="shared" si="19"/>
        <v>#VALUE!</v>
      </c>
      <c r="X38" s="303" t="e">
        <f t="shared" si="20"/>
        <v>#VALUE!</v>
      </c>
      <c r="Y38" s="312" t="s">
        <v>1300</v>
      </c>
      <c r="Z38" s="265" t="s">
        <v>214</v>
      </c>
      <c r="AA38" s="265" t="s">
        <v>215</v>
      </c>
      <c r="AB38" s="265"/>
      <c r="AC38" s="304" t="s">
        <v>384</v>
      </c>
      <c r="AD38" s="285">
        <v>44578</v>
      </c>
      <c r="AE38" s="285"/>
      <c r="AF38" s="305" t="str">
        <f t="shared" si="21"/>
        <v>ene</v>
      </c>
      <c r="AG38" s="306">
        <f t="shared" si="9"/>
        <v>14</v>
      </c>
      <c r="AH38" s="307">
        <f t="shared" si="10"/>
        <v>376</v>
      </c>
      <c r="AI38" s="265" t="s">
        <v>258</v>
      </c>
      <c r="AJ38" s="265" t="s">
        <v>171</v>
      </c>
      <c r="AK38" s="277"/>
      <c r="AL38" s="277"/>
      <c r="AM38" s="309"/>
      <c r="AN38" s="269"/>
      <c r="AO38" s="277"/>
      <c r="AP38" s="309">
        <f t="shared" si="22"/>
        <v>214140187</v>
      </c>
      <c r="AQ38" s="289"/>
      <c r="AR38" s="289"/>
      <c r="AS38" s="277"/>
      <c r="AT38" s="260"/>
      <c r="AU38" s="260"/>
      <c r="AV38" s="200"/>
      <c r="AW38" s="200"/>
      <c r="AX38" s="200"/>
      <c r="AY38" s="200"/>
      <c r="AZ38" s="139">
        <f t="shared" si="13"/>
        <v>0</v>
      </c>
      <c r="BA38" s="200"/>
      <c r="BB38" s="203"/>
      <c r="BC38" s="95"/>
      <c r="BD38" s="200"/>
      <c r="BE38" s="200"/>
      <c r="BF38" s="160"/>
    </row>
    <row r="39" spans="2:58" ht="43.9" customHeight="1" x14ac:dyDescent="0.25">
      <c r="B39" s="100">
        <f t="shared" si="12"/>
        <v>21</v>
      </c>
      <c r="C39" s="293" t="s">
        <v>385</v>
      </c>
      <c r="D39" s="265" t="s">
        <v>359</v>
      </c>
      <c r="E39" s="272">
        <v>44564</v>
      </c>
      <c r="F39" s="268" t="s">
        <v>4431</v>
      </c>
      <c r="G39" s="269" t="s">
        <v>386</v>
      </c>
      <c r="H39" s="265" t="s">
        <v>387</v>
      </c>
      <c r="I39" s="319" t="s">
        <v>146</v>
      </c>
      <c r="J39" s="269" t="s">
        <v>388</v>
      </c>
      <c r="K39" s="342">
        <v>443076766</v>
      </c>
      <c r="L39" s="282"/>
      <c r="M39" s="265"/>
      <c r="N39" s="302" t="str">
        <f t="shared" si="17"/>
        <v/>
      </c>
      <c r="O39" s="265">
        <v>202202125</v>
      </c>
      <c r="P39" s="271">
        <v>230000000</v>
      </c>
      <c r="Q39" s="312" t="s">
        <v>146</v>
      </c>
      <c r="R39" s="312" t="s">
        <v>146</v>
      </c>
      <c r="S39" s="312" t="s">
        <v>146</v>
      </c>
      <c r="T39" s="280" t="str">
        <f t="shared" si="18"/>
        <v xml:space="preserve"> </v>
      </c>
      <c r="U39" s="269" t="s">
        <v>206</v>
      </c>
      <c r="V39" s="284">
        <v>44567</v>
      </c>
      <c r="W39" s="303" t="e">
        <f t="shared" si="19"/>
        <v>#VALUE!</v>
      </c>
      <c r="X39" s="303" t="e">
        <f t="shared" si="20"/>
        <v>#VALUE!</v>
      </c>
      <c r="Y39" s="312" t="s">
        <v>1300</v>
      </c>
      <c r="Z39" s="265" t="s">
        <v>214</v>
      </c>
      <c r="AA39" s="265" t="s">
        <v>215</v>
      </c>
      <c r="AB39" s="265"/>
      <c r="AC39" s="304" t="s">
        <v>389</v>
      </c>
      <c r="AD39" s="285">
        <v>44578</v>
      </c>
      <c r="AE39" s="285"/>
      <c r="AF39" s="305" t="str">
        <f t="shared" si="21"/>
        <v>ene</v>
      </c>
      <c r="AG39" s="306">
        <f t="shared" si="9"/>
        <v>14</v>
      </c>
      <c r="AH39" s="307">
        <f t="shared" si="10"/>
        <v>11</v>
      </c>
      <c r="AI39" s="265" t="s">
        <v>258</v>
      </c>
      <c r="AJ39" s="265" t="s">
        <v>171</v>
      </c>
      <c r="AK39" s="277"/>
      <c r="AL39" s="277"/>
      <c r="AM39" s="309"/>
      <c r="AN39" s="269"/>
      <c r="AO39" s="277"/>
      <c r="AP39" s="309">
        <f t="shared" si="22"/>
        <v>443076766</v>
      </c>
      <c r="AQ39" s="289"/>
      <c r="AR39" s="289"/>
      <c r="AS39" s="277"/>
      <c r="AT39" s="260"/>
      <c r="AU39" s="260"/>
      <c r="AV39" s="200"/>
      <c r="AW39" s="200"/>
      <c r="AX39" s="200"/>
      <c r="AY39" s="200"/>
      <c r="AZ39" s="139">
        <f t="shared" si="13"/>
        <v>0</v>
      </c>
      <c r="BA39" s="200"/>
      <c r="BB39" s="203"/>
      <c r="BC39" s="95"/>
      <c r="BD39" s="2"/>
      <c r="BE39" s="2"/>
      <c r="BF39" s="160"/>
    </row>
    <row r="40" spans="2:58" ht="43.9" customHeight="1" x14ac:dyDescent="0.25">
      <c r="B40" s="100">
        <f t="shared" si="12"/>
        <v>22</v>
      </c>
      <c r="C40" s="293" t="s">
        <v>390</v>
      </c>
      <c r="D40" s="265" t="s">
        <v>359</v>
      </c>
      <c r="E40" s="272">
        <v>44564</v>
      </c>
      <c r="F40" s="268" t="s">
        <v>4431</v>
      </c>
      <c r="G40" s="269" t="s">
        <v>391</v>
      </c>
      <c r="H40" s="265" t="s">
        <v>392</v>
      </c>
      <c r="I40" s="319" t="s">
        <v>146</v>
      </c>
      <c r="J40" s="269" t="s">
        <v>393</v>
      </c>
      <c r="K40" s="342">
        <v>114000000</v>
      </c>
      <c r="L40" s="282" t="s">
        <v>394</v>
      </c>
      <c r="M40" s="265"/>
      <c r="N40" s="302" t="str">
        <f t="shared" si="17"/>
        <v/>
      </c>
      <c r="O40" s="320" t="s">
        <v>255</v>
      </c>
      <c r="P40" s="271"/>
      <c r="Q40" s="312" t="s">
        <v>146</v>
      </c>
      <c r="R40" s="312" t="s">
        <v>146</v>
      </c>
      <c r="S40" s="312" t="s">
        <v>146</v>
      </c>
      <c r="T40" s="280" t="str">
        <f t="shared" si="18"/>
        <v xml:space="preserve"> </v>
      </c>
      <c r="U40" s="269" t="s">
        <v>206</v>
      </c>
      <c r="V40" s="284">
        <v>44567</v>
      </c>
      <c r="W40" s="303" t="e">
        <f t="shared" si="19"/>
        <v>#VALUE!</v>
      </c>
      <c r="X40" s="303" t="e">
        <f t="shared" si="20"/>
        <v>#VALUE!</v>
      </c>
      <c r="Y40" s="312" t="s">
        <v>1300</v>
      </c>
      <c r="Z40" s="265" t="s">
        <v>214</v>
      </c>
      <c r="AA40" s="265" t="s">
        <v>215</v>
      </c>
      <c r="AB40" s="265"/>
      <c r="AC40" s="304" t="s">
        <v>395</v>
      </c>
      <c r="AD40" s="272">
        <v>44565</v>
      </c>
      <c r="AE40" s="265"/>
      <c r="AF40" s="305" t="str">
        <f t="shared" si="21"/>
        <v>ene</v>
      </c>
      <c r="AG40" s="306">
        <f t="shared" si="9"/>
        <v>1</v>
      </c>
      <c r="AH40" s="307">
        <f t="shared" si="10"/>
        <v>-2</v>
      </c>
      <c r="AI40" s="265" t="s">
        <v>258</v>
      </c>
      <c r="AJ40" s="265" t="s">
        <v>171</v>
      </c>
      <c r="AK40" s="277"/>
      <c r="AL40" s="277"/>
      <c r="AM40" s="309"/>
      <c r="AN40" s="269"/>
      <c r="AO40" s="277"/>
      <c r="AP40" s="309">
        <f t="shared" si="22"/>
        <v>114000000</v>
      </c>
      <c r="AQ40" s="289"/>
      <c r="AR40" s="289"/>
      <c r="AS40" s="277"/>
      <c r="AT40" s="260"/>
      <c r="AU40" s="260"/>
      <c r="AV40" s="200"/>
      <c r="AW40" s="200"/>
      <c r="AX40" s="200"/>
      <c r="AY40" s="200"/>
      <c r="AZ40" s="139">
        <f t="shared" si="13"/>
        <v>0</v>
      </c>
      <c r="BA40" s="200"/>
      <c r="BB40" s="203"/>
      <c r="BC40" s="95"/>
      <c r="BD40" s="2"/>
      <c r="BE40" s="2"/>
      <c r="BF40" s="161">
        <f>+AB40</f>
        <v>0</v>
      </c>
    </row>
    <row r="41" spans="2:58" ht="43.9" customHeight="1" x14ac:dyDescent="0.25">
      <c r="B41" s="100">
        <f t="shared" si="12"/>
        <v>23</v>
      </c>
      <c r="C41" s="110" t="s">
        <v>396</v>
      </c>
      <c r="D41" s="99" t="s">
        <v>332</v>
      </c>
      <c r="E41" s="140">
        <v>44564</v>
      </c>
      <c r="F41" s="268" t="s">
        <v>4431</v>
      </c>
      <c r="G41" s="96" t="s">
        <v>397</v>
      </c>
      <c r="H41" s="96" t="s">
        <v>398</v>
      </c>
      <c r="I41" s="164" t="s">
        <v>146</v>
      </c>
      <c r="J41" s="133" t="s">
        <v>399</v>
      </c>
      <c r="K41" s="341">
        <v>8300012</v>
      </c>
      <c r="L41" s="96" t="s">
        <v>328</v>
      </c>
      <c r="M41" s="99" t="s">
        <v>400</v>
      </c>
      <c r="N41" s="99"/>
      <c r="O41" s="99">
        <v>20220919</v>
      </c>
      <c r="P41" s="165">
        <v>333219580</v>
      </c>
      <c r="Q41" s="111" t="s">
        <v>146</v>
      </c>
      <c r="R41" s="111" t="s">
        <v>146</v>
      </c>
      <c r="S41" s="111"/>
      <c r="T41" s="111" t="s">
        <v>43</v>
      </c>
      <c r="U41" s="96" t="s">
        <v>401</v>
      </c>
      <c r="V41" s="137">
        <v>44573</v>
      </c>
      <c r="W41" s="166"/>
      <c r="X41" s="166"/>
      <c r="Y41" s="111"/>
      <c r="Z41" s="96" t="s">
        <v>168</v>
      </c>
      <c r="AA41" s="99" t="s">
        <v>169</v>
      </c>
      <c r="AB41" s="96" t="s">
        <v>402</v>
      </c>
      <c r="AC41" s="96"/>
      <c r="AD41" s="97">
        <v>44599</v>
      </c>
      <c r="AE41" s="362" t="s">
        <v>4431</v>
      </c>
      <c r="AF41" s="98"/>
      <c r="AG41" s="166">
        <f t="shared" si="9"/>
        <v>35</v>
      </c>
      <c r="AH41" s="166">
        <f t="shared" si="10"/>
        <v>26</v>
      </c>
      <c r="AI41" s="99" t="s">
        <v>258</v>
      </c>
      <c r="AJ41" s="96" t="s">
        <v>171</v>
      </c>
      <c r="AK41" s="99" t="s">
        <v>1014</v>
      </c>
      <c r="AL41" s="97">
        <v>44587</v>
      </c>
      <c r="AM41" s="214">
        <v>8300012</v>
      </c>
      <c r="AN41" s="96" t="s">
        <v>1015</v>
      </c>
      <c r="AO41" s="96"/>
      <c r="AP41" s="181">
        <f t="shared" si="22"/>
        <v>0</v>
      </c>
      <c r="AQ41" s="138"/>
      <c r="AR41" s="138"/>
      <c r="AS41" s="99" t="s">
        <v>146</v>
      </c>
      <c r="AT41" s="99" t="s">
        <v>146</v>
      </c>
      <c r="AU41" s="138"/>
      <c r="AV41" s="99" t="s">
        <v>174</v>
      </c>
      <c r="AW41" s="99" t="s">
        <v>175</v>
      </c>
      <c r="AX41" s="99"/>
      <c r="AY41" s="167">
        <f t="shared" ref="AY41:AY44" si="23">+AP41/K41</f>
        <v>0</v>
      </c>
      <c r="AZ41" s="139">
        <f t="shared" si="13"/>
        <v>0</v>
      </c>
      <c r="BA41" s="139">
        <f>IF(T41="Invitación Privada",1,IF(T41="Invitación Pública",2,0))</f>
        <v>1</v>
      </c>
      <c r="BB41" s="132">
        <f>IF(AA41="CONTRATADO",IF(BA41=1,NETWORKDAYS.INTL(E41,AD41,1,[1]FESTIVOS!$B$3:$B$10)-1,AD41-E41))-BD41</f>
        <v>24</v>
      </c>
      <c r="BC41" s="157"/>
      <c r="BD41" s="162">
        <v>0</v>
      </c>
      <c r="BE41" s="382" t="s">
        <v>2052</v>
      </c>
      <c r="BF41" s="160"/>
    </row>
    <row r="42" spans="2:58" ht="43.9" customHeight="1" x14ac:dyDescent="0.25">
      <c r="B42" s="100">
        <f t="shared" si="12"/>
        <v>24</v>
      </c>
      <c r="C42" s="110" t="s">
        <v>403</v>
      </c>
      <c r="D42" s="99" t="s">
        <v>332</v>
      </c>
      <c r="E42" s="140">
        <v>44564</v>
      </c>
      <c r="F42" s="268" t="s">
        <v>4431</v>
      </c>
      <c r="G42" s="96" t="s">
        <v>404</v>
      </c>
      <c r="H42" s="96" t="s">
        <v>405</v>
      </c>
      <c r="I42" s="164" t="s">
        <v>146</v>
      </c>
      <c r="J42" s="133" t="s">
        <v>406</v>
      </c>
      <c r="K42" s="341">
        <v>33046757</v>
      </c>
      <c r="L42" s="96" t="s">
        <v>328</v>
      </c>
      <c r="M42" s="99" t="s">
        <v>407</v>
      </c>
      <c r="N42" s="99"/>
      <c r="O42" s="99">
        <v>202201119</v>
      </c>
      <c r="P42" s="165">
        <v>33100000</v>
      </c>
      <c r="Q42" s="111" t="s">
        <v>146</v>
      </c>
      <c r="R42" s="111" t="s">
        <v>146</v>
      </c>
      <c r="S42" s="111"/>
      <c r="T42" s="111" t="s">
        <v>43</v>
      </c>
      <c r="U42" s="96" t="s">
        <v>401</v>
      </c>
      <c r="V42" s="137">
        <v>44573</v>
      </c>
      <c r="W42" s="166"/>
      <c r="X42" s="166"/>
      <c r="Y42" s="111"/>
      <c r="Z42" s="96" t="s">
        <v>168</v>
      </c>
      <c r="AA42" s="99" t="s">
        <v>169</v>
      </c>
      <c r="AB42" s="96" t="s">
        <v>408</v>
      </c>
      <c r="AC42" s="96"/>
      <c r="AD42" s="97">
        <v>44607</v>
      </c>
      <c r="AE42" s="362" t="s">
        <v>4431</v>
      </c>
      <c r="AF42" s="98"/>
      <c r="AG42" s="166">
        <f t="shared" si="9"/>
        <v>43</v>
      </c>
      <c r="AH42" s="166">
        <f t="shared" si="10"/>
        <v>34</v>
      </c>
      <c r="AI42" s="99" t="s">
        <v>258</v>
      </c>
      <c r="AJ42" s="96" t="s">
        <v>171</v>
      </c>
      <c r="AK42" s="99" t="s">
        <v>1016</v>
      </c>
      <c r="AL42" s="97">
        <v>44588</v>
      </c>
      <c r="AM42" s="214">
        <v>32870684</v>
      </c>
      <c r="AN42" s="96" t="s">
        <v>1017</v>
      </c>
      <c r="AO42" s="96"/>
      <c r="AP42" s="181">
        <f t="shared" si="22"/>
        <v>176073</v>
      </c>
      <c r="AQ42" s="138"/>
      <c r="AR42" s="138"/>
      <c r="AS42" s="99" t="s">
        <v>146</v>
      </c>
      <c r="AT42" s="99" t="s">
        <v>146</v>
      </c>
      <c r="AU42" s="138"/>
      <c r="AV42" s="99" t="s">
        <v>174</v>
      </c>
      <c r="AW42" s="99" t="s">
        <v>175</v>
      </c>
      <c r="AX42" s="99"/>
      <c r="AY42" s="167">
        <f t="shared" si="23"/>
        <v>5.3279963295641986E-3</v>
      </c>
      <c r="AZ42" s="139">
        <f t="shared" si="13"/>
        <v>0</v>
      </c>
      <c r="BA42" s="139">
        <f>IF(T42="Invitación Privada",1,IF(T42="Invitación Pública",2,0))</f>
        <v>1</v>
      </c>
      <c r="BB42" s="132">
        <f>IF(AA42="CONTRATADO",IF(BA42=1,NETWORKDAYS.INTL(E42,AD42,1,[1]FESTIVOS!$B$3:$B$10)-1,AD42-E42))-BD42</f>
        <v>30</v>
      </c>
      <c r="BC42" s="157"/>
      <c r="BD42" s="162">
        <v>0</v>
      </c>
      <c r="BE42" s="382" t="s">
        <v>2052</v>
      </c>
      <c r="BF42" s="161" t="str">
        <f>+AB42</f>
        <v>21 DE ENERO EN REVISION DE LA FPA E INVITACION
24 DE ENERO EN RECEPCION DE OFERTAS
28 DE ENERO EN RP Y POLIZAS</v>
      </c>
    </row>
    <row r="43" spans="2:58" ht="43.9" customHeight="1" x14ac:dyDescent="0.25">
      <c r="B43" s="100">
        <f t="shared" si="12"/>
        <v>25</v>
      </c>
      <c r="C43" s="110" t="s">
        <v>409</v>
      </c>
      <c r="D43" s="99" t="s">
        <v>332</v>
      </c>
      <c r="E43" s="137">
        <v>44566</v>
      </c>
      <c r="F43" s="268" t="s">
        <v>4431</v>
      </c>
      <c r="G43" s="99" t="s">
        <v>410</v>
      </c>
      <c r="H43" s="99" t="s">
        <v>411</v>
      </c>
      <c r="I43" s="164" t="s">
        <v>146</v>
      </c>
      <c r="J43" s="96" t="s">
        <v>3877</v>
      </c>
      <c r="K43" s="341">
        <v>11842000</v>
      </c>
      <c r="L43" s="99" t="s">
        <v>412</v>
      </c>
      <c r="M43" s="99" t="s">
        <v>413</v>
      </c>
      <c r="N43" s="99"/>
      <c r="O43" s="99">
        <v>202200783</v>
      </c>
      <c r="P43" s="165"/>
      <c r="Q43" s="111" t="s">
        <v>146</v>
      </c>
      <c r="R43" s="111" t="s">
        <v>146</v>
      </c>
      <c r="S43" s="111"/>
      <c r="T43" s="111" t="s">
        <v>43</v>
      </c>
      <c r="U43" s="96" t="s">
        <v>364</v>
      </c>
      <c r="V43" s="137">
        <v>44566</v>
      </c>
      <c r="W43" s="166"/>
      <c r="X43" s="166"/>
      <c r="Y43" s="111"/>
      <c r="Z43" s="96" t="s">
        <v>168</v>
      </c>
      <c r="AA43" s="99" t="s">
        <v>169</v>
      </c>
      <c r="AB43" s="96" t="s">
        <v>414</v>
      </c>
      <c r="AC43" s="96"/>
      <c r="AD43" s="97">
        <v>44589</v>
      </c>
      <c r="AE43" s="362" t="s">
        <v>4431</v>
      </c>
      <c r="AF43" s="98"/>
      <c r="AG43" s="166">
        <f t="shared" si="9"/>
        <v>23</v>
      </c>
      <c r="AH43" s="166">
        <f t="shared" si="10"/>
        <v>23</v>
      </c>
      <c r="AI43" s="99" t="s">
        <v>258</v>
      </c>
      <c r="AJ43" s="96" t="s">
        <v>171</v>
      </c>
      <c r="AK43" s="99" t="s">
        <v>415</v>
      </c>
      <c r="AL43" s="97">
        <v>44568</v>
      </c>
      <c r="AM43" s="214">
        <v>11795189</v>
      </c>
      <c r="AN43" s="96" t="s">
        <v>416</v>
      </c>
      <c r="AO43" s="96"/>
      <c r="AP43" s="181">
        <f t="shared" si="22"/>
        <v>46811</v>
      </c>
      <c r="AQ43" s="138"/>
      <c r="AR43" s="138"/>
      <c r="AS43" s="99" t="s">
        <v>146</v>
      </c>
      <c r="AT43" s="99" t="s">
        <v>146</v>
      </c>
      <c r="AU43" s="138"/>
      <c r="AV43" s="99" t="s">
        <v>174</v>
      </c>
      <c r="AW43" s="99" t="s">
        <v>175</v>
      </c>
      <c r="AX43" s="99"/>
      <c r="AY43" s="167">
        <f t="shared" si="23"/>
        <v>3.952964026346901E-3</v>
      </c>
      <c r="AZ43" s="139">
        <f t="shared" si="13"/>
        <v>0</v>
      </c>
      <c r="BA43" s="139">
        <f>IF(T43="Invitación Privada",1,IF(T43="Invitación Pública",2,0))</f>
        <v>1</v>
      </c>
      <c r="BB43" s="132">
        <f>IF(AA43="CONTRATADO",IF(BA43=1,NETWORKDAYS.INTL(E43,AD43,1,[1]FESTIVOS!$B$3:$B$10)-1,AD43-E43))-BD43</f>
        <v>16</v>
      </c>
      <c r="BC43" s="157"/>
      <c r="BD43" s="162">
        <v>0</v>
      </c>
      <c r="BE43" s="382" t="s">
        <v>2052</v>
      </c>
      <c r="BF43" s="160"/>
    </row>
    <row r="44" spans="2:58" ht="43.9" customHeight="1" x14ac:dyDescent="0.25">
      <c r="B44" s="100">
        <f t="shared" si="12"/>
        <v>26</v>
      </c>
      <c r="C44" s="110" t="s">
        <v>417</v>
      </c>
      <c r="D44" s="99" t="s">
        <v>32</v>
      </c>
      <c r="E44" s="137">
        <v>44567</v>
      </c>
      <c r="F44" s="268" t="s">
        <v>4431</v>
      </c>
      <c r="G44" s="99" t="s">
        <v>418</v>
      </c>
      <c r="H44" s="99" t="s">
        <v>419</v>
      </c>
      <c r="I44" s="164" t="s">
        <v>146</v>
      </c>
      <c r="J44" s="145" t="s">
        <v>420</v>
      </c>
      <c r="K44" s="341">
        <v>37052900</v>
      </c>
      <c r="L44" s="96" t="s">
        <v>421</v>
      </c>
      <c r="M44" s="96" t="s">
        <v>422</v>
      </c>
      <c r="N44" s="96"/>
      <c r="O44" s="99" t="s">
        <v>423</v>
      </c>
      <c r="P44" s="165"/>
      <c r="Q44" s="111" t="s">
        <v>146</v>
      </c>
      <c r="R44" s="111" t="s">
        <v>146</v>
      </c>
      <c r="S44" s="111"/>
      <c r="T44" s="111" t="s">
        <v>43</v>
      </c>
      <c r="U44" s="96" t="s">
        <v>312</v>
      </c>
      <c r="V44" s="137">
        <v>44202</v>
      </c>
      <c r="W44" s="166"/>
      <c r="X44" s="166"/>
      <c r="Y44" s="111"/>
      <c r="Z44" s="96" t="s">
        <v>168</v>
      </c>
      <c r="AA44" s="99" t="s">
        <v>169</v>
      </c>
      <c r="AB44" s="96" t="s">
        <v>424</v>
      </c>
      <c r="AC44" s="96"/>
      <c r="AD44" s="97">
        <v>44589</v>
      </c>
      <c r="AE44" s="362" t="s">
        <v>4431</v>
      </c>
      <c r="AF44" s="98"/>
      <c r="AG44" s="166">
        <f t="shared" si="9"/>
        <v>22</v>
      </c>
      <c r="AH44" s="166">
        <f t="shared" si="10"/>
        <v>387</v>
      </c>
      <c r="AI44" s="99" t="s">
        <v>258</v>
      </c>
      <c r="AJ44" s="96" t="s">
        <v>171</v>
      </c>
      <c r="AK44" s="99" t="s">
        <v>425</v>
      </c>
      <c r="AL44" s="97">
        <v>44582</v>
      </c>
      <c r="AM44" s="214">
        <v>36212000</v>
      </c>
      <c r="AN44" s="96" t="s">
        <v>426</v>
      </c>
      <c r="AO44" s="96"/>
      <c r="AP44" s="181">
        <f t="shared" si="22"/>
        <v>840900</v>
      </c>
      <c r="AQ44" s="138"/>
      <c r="AR44" s="138"/>
      <c r="AS44" s="99" t="s">
        <v>146</v>
      </c>
      <c r="AT44" s="99" t="s">
        <v>146</v>
      </c>
      <c r="AU44" s="138"/>
      <c r="AV44" s="99" t="s">
        <v>174</v>
      </c>
      <c r="AW44" s="99" t="s">
        <v>175</v>
      </c>
      <c r="AX44" s="99"/>
      <c r="AY44" s="167">
        <f t="shared" si="23"/>
        <v>2.2694579911423936E-2</v>
      </c>
      <c r="AZ44" s="139">
        <f t="shared" si="13"/>
        <v>1</v>
      </c>
      <c r="BA44" s="139">
        <f>IF(T44="Invitación Privada",1,IF(T44="Invitación Pública",2,0))</f>
        <v>1</v>
      </c>
      <c r="BB44" s="132">
        <f>IF(AA44="CONTRATADO",IF(BA44=1,NETWORKDAYS.INTL(E44,AD44,1,[1]FESTIVOS!$B$3:$B$10)-1,AD44-E44))-BD44</f>
        <v>15</v>
      </c>
      <c r="BC44" s="157"/>
      <c r="BD44" s="162">
        <v>0</v>
      </c>
      <c r="BE44" s="382" t="s">
        <v>2052</v>
      </c>
      <c r="BF44" s="160"/>
    </row>
    <row r="45" spans="2:58" ht="43.9" customHeight="1" x14ac:dyDescent="0.25">
      <c r="B45" s="100">
        <f t="shared" si="12"/>
        <v>27</v>
      </c>
      <c r="C45" s="293" t="s">
        <v>427</v>
      </c>
      <c r="D45" s="265" t="s">
        <v>332</v>
      </c>
      <c r="E45" s="272">
        <v>44568</v>
      </c>
      <c r="F45" s="268" t="s">
        <v>4431</v>
      </c>
      <c r="G45" s="269" t="s">
        <v>428</v>
      </c>
      <c r="H45" s="265" t="s">
        <v>429</v>
      </c>
      <c r="I45" s="319" t="s">
        <v>146</v>
      </c>
      <c r="J45" s="269" t="s">
        <v>430</v>
      </c>
      <c r="K45" s="342">
        <v>162036036</v>
      </c>
      <c r="L45" s="282" t="s">
        <v>394</v>
      </c>
      <c r="M45" s="265" t="s">
        <v>431</v>
      </c>
      <c r="N45" s="302" t="str">
        <f>MID(M45,5,3)</f>
        <v>IP-</v>
      </c>
      <c r="O45" s="328">
        <v>202201175</v>
      </c>
      <c r="P45" s="271">
        <v>162036036</v>
      </c>
      <c r="Q45" s="312" t="s">
        <v>146</v>
      </c>
      <c r="R45" s="312" t="s">
        <v>146</v>
      </c>
      <c r="S45" s="312" t="s">
        <v>146</v>
      </c>
      <c r="T45" s="111" t="s">
        <v>43</v>
      </c>
      <c r="U45" s="269" t="s">
        <v>401</v>
      </c>
      <c r="V45" s="284">
        <v>44572</v>
      </c>
      <c r="W45" s="303" t="e">
        <f>+$D$4-E45</f>
        <v>#VALUE!</v>
      </c>
      <c r="X45" s="303" t="e">
        <f>$D$4-V45</f>
        <v>#VALUE!</v>
      </c>
      <c r="Y45" s="265" t="s">
        <v>1300</v>
      </c>
      <c r="Z45" s="265" t="s">
        <v>214</v>
      </c>
      <c r="AA45" s="265" t="s">
        <v>215</v>
      </c>
      <c r="AB45" s="265"/>
      <c r="AC45" s="304" t="s">
        <v>432</v>
      </c>
      <c r="AD45" s="272">
        <v>44587</v>
      </c>
      <c r="AE45" s="272"/>
      <c r="AF45" s="305" t="str">
        <f>+IF(AD45="","",TEXT(AD45,"mmm"))</f>
        <v>ene</v>
      </c>
      <c r="AG45" s="306">
        <f t="shared" si="9"/>
        <v>19</v>
      </c>
      <c r="AH45" s="307">
        <f t="shared" si="10"/>
        <v>15</v>
      </c>
      <c r="AI45" s="265" t="s">
        <v>258</v>
      </c>
      <c r="AJ45" s="265" t="s">
        <v>171</v>
      </c>
      <c r="AK45" s="277"/>
      <c r="AL45" s="277"/>
      <c r="AM45" s="309"/>
      <c r="AN45" s="269"/>
      <c r="AO45" s="277"/>
      <c r="AP45" s="309">
        <f t="shared" si="22"/>
        <v>162036036</v>
      </c>
      <c r="AQ45" s="289"/>
      <c r="AR45" s="289"/>
      <c r="AS45" s="277"/>
      <c r="AT45" s="260"/>
      <c r="AU45" s="260"/>
      <c r="AV45" s="200"/>
      <c r="AW45" s="200"/>
      <c r="AX45" s="200"/>
      <c r="AY45" s="200"/>
      <c r="AZ45" s="139">
        <f t="shared" si="13"/>
        <v>0</v>
      </c>
      <c r="BA45" s="200"/>
      <c r="BB45" s="203"/>
      <c r="BC45" s="95"/>
      <c r="BD45" s="2"/>
      <c r="BE45" s="2"/>
      <c r="BF45" s="160"/>
    </row>
    <row r="46" spans="2:58" ht="43.9" customHeight="1" x14ac:dyDescent="0.25">
      <c r="B46" s="100">
        <f t="shared" si="12"/>
        <v>28</v>
      </c>
      <c r="C46" s="110" t="s">
        <v>433</v>
      </c>
      <c r="D46" s="99" t="s">
        <v>332</v>
      </c>
      <c r="E46" s="140">
        <v>44568</v>
      </c>
      <c r="F46" s="268" t="s">
        <v>4431</v>
      </c>
      <c r="G46" s="96" t="s">
        <v>434</v>
      </c>
      <c r="H46" s="96" t="s">
        <v>435</v>
      </c>
      <c r="I46" s="164" t="s">
        <v>146</v>
      </c>
      <c r="J46" s="133" t="s">
        <v>436</v>
      </c>
      <c r="K46" s="341">
        <v>197542274</v>
      </c>
      <c r="L46" s="96" t="s">
        <v>328</v>
      </c>
      <c r="M46" s="99" t="s">
        <v>437</v>
      </c>
      <c r="N46" s="99"/>
      <c r="O46" s="99">
        <v>202201823</v>
      </c>
      <c r="P46" s="165">
        <v>197542274</v>
      </c>
      <c r="Q46" s="111" t="s">
        <v>146</v>
      </c>
      <c r="R46" s="111" t="s">
        <v>146</v>
      </c>
      <c r="S46" s="111"/>
      <c r="T46" s="111" t="s">
        <v>43</v>
      </c>
      <c r="U46" s="96" t="s">
        <v>337</v>
      </c>
      <c r="V46" s="137">
        <v>44575</v>
      </c>
      <c r="W46" s="166"/>
      <c r="X46" s="166"/>
      <c r="Y46" s="111"/>
      <c r="Z46" s="96" t="s">
        <v>168</v>
      </c>
      <c r="AA46" s="99" t="s">
        <v>169</v>
      </c>
      <c r="AB46" s="96" t="s">
        <v>438</v>
      </c>
      <c r="AC46" s="96"/>
      <c r="AD46" s="97">
        <v>44595</v>
      </c>
      <c r="AE46" s="362" t="s">
        <v>4431</v>
      </c>
      <c r="AF46" s="98"/>
      <c r="AG46" s="166">
        <f t="shared" si="9"/>
        <v>27</v>
      </c>
      <c r="AH46" s="166">
        <f t="shared" si="10"/>
        <v>20</v>
      </c>
      <c r="AI46" s="99" t="s">
        <v>258</v>
      </c>
      <c r="AJ46" s="96" t="s">
        <v>171</v>
      </c>
      <c r="AK46" s="99" t="s">
        <v>1018</v>
      </c>
      <c r="AL46" s="97">
        <v>44588</v>
      </c>
      <c r="AM46" s="214">
        <v>197542274</v>
      </c>
      <c r="AN46" s="96" t="s">
        <v>1019</v>
      </c>
      <c r="AO46" s="96"/>
      <c r="AP46" s="181">
        <f t="shared" si="22"/>
        <v>0</v>
      </c>
      <c r="AQ46" s="138"/>
      <c r="AR46" s="138"/>
      <c r="AS46" s="99" t="s">
        <v>1039</v>
      </c>
      <c r="AT46" s="97">
        <v>44582</v>
      </c>
      <c r="AU46" s="138"/>
      <c r="AV46" s="99" t="s">
        <v>174</v>
      </c>
      <c r="AW46" s="99" t="s">
        <v>175</v>
      </c>
      <c r="AX46" s="99"/>
      <c r="AY46" s="167">
        <f t="shared" ref="AY46:AY61" si="24">+AP46/K46</f>
        <v>0</v>
      </c>
      <c r="AZ46" s="139">
        <f t="shared" si="13"/>
        <v>0</v>
      </c>
      <c r="BA46" s="139">
        <f t="shared" ref="BA46:BA61" si="25">IF(T46="Invitación Privada",1,IF(T46="Invitación Pública",2,0))</f>
        <v>1</v>
      </c>
      <c r="BB46" s="132">
        <f>IF(AA46="CONTRATADO",IF(BA46=1,NETWORKDAYS.INTL(E46,AD46,1,[1]FESTIVOS!$B$3:$B$10)-1,AD46-E46))-BD46</f>
        <v>18</v>
      </c>
      <c r="BC46" s="157"/>
      <c r="BD46" s="162">
        <v>0</v>
      </c>
      <c r="BE46" s="382" t="s">
        <v>2052</v>
      </c>
      <c r="BF46" s="160"/>
    </row>
    <row r="47" spans="2:58" ht="43.9" customHeight="1" x14ac:dyDescent="0.25">
      <c r="B47" s="100">
        <f t="shared" si="12"/>
        <v>29</v>
      </c>
      <c r="C47" s="110" t="s">
        <v>439</v>
      </c>
      <c r="D47" s="99" t="s">
        <v>332</v>
      </c>
      <c r="E47" s="140">
        <v>44568</v>
      </c>
      <c r="F47" s="268" t="s">
        <v>4431</v>
      </c>
      <c r="G47" s="96" t="s">
        <v>440</v>
      </c>
      <c r="H47" s="96" t="s">
        <v>441</v>
      </c>
      <c r="I47" s="164" t="s">
        <v>146</v>
      </c>
      <c r="J47" s="133" t="s">
        <v>442</v>
      </c>
      <c r="K47" s="341">
        <v>122910984</v>
      </c>
      <c r="L47" s="96" t="s">
        <v>328</v>
      </c>
      <c r="M47" s="99" t="s">
        <v>443</v>
      </c>
      <c r="N47" s="99"/>
      <c r="O47" s="99">
        <v>202201826</v>
      </c>
      <c r="P47" s="165">
        <v>122910984</v>
      </c>
      <c r="Q47" s="111" t="s">
        <v>146</v>
      </c>
      <c r="R47" s="111" t="s">
        <v>146</v>
      </c>
      <c r="S47" s="111"/>
      <c r="T47" s="111" t="s">
        <v>43</v>
      </c>
      <c r="U47" s="96" t="s">
        <v>337</v>
      </c>
      <c r="V47" s="137">
        <v>44575</v>
      </c>
      <c r="W47" s="166"/>
      <c r="X47" s="166"/>
      <c r="Y47" s="111"/>
      <c r="Z47" s="96" t="s">
        <v>168</v>
      </c>
      <c r="AA47" s="99" t="s">
        <v>169</v>
      </c>
      <c r="AB47" s="96" t="s">
        <v>444</v>
      </c>
      <c r="AC47" s="96"/>
      <c r="AD47" s="97">
        <v>44593</v>
      </c>
      <c r="AE47" s="362" t="s">
        <v>4431</v>
      </c>
      <c r="AF47" s="98"/>
      <c r="AG47" s="166">
        <f t="shared" si="9"/>
        <v>25</v>
      </c>
      <c r="AH47" s="166">
        <f t="shared" si="10"/>
        <v>18</v>
      </c>
      <c r="AI47" s="99" t="s">
        <v>258</v>
      </c>
      <c r="AJ47" s="96" t="s">
        <v>171</v>
      </c>
      <c r="AK47" s="99" t="s">
        <v>445</v>
      </c>
      <c r="AL47" s="97">
        <v>44588</v>
      </c>
      <c r="AM47" s="214">
        <v>122910984</v>
      </c>
      <c r="AN47" s="96" t="s">
        <v>446</v>
      </c>
      <c r="AO47" s="96"/>
      <c r="AP47" s="181">
        <f t="shared" si="22"/>
        <v>0</v>
      </c>
      <c r="AQ47" s="138"/>
      <c r="AR47" s="138"/>
      <c r="AS47" s="99" t="s">
        <v>146</v>
      </c>
      <c r="AT47" s="99" t="s">
        <v>146</v>
      </c>
      <c r="AU47" s="138"/>
      <c r="AV47" s="99" t="s">
        <v>174</v>
      </c>
      <c r="AW47" s="99" t="s">
        <v>175</v>
      </c>
      <c r="AX47" s="99"/>
      <c r="AY47" s="167">
        <f t="shared" si="24"/>
        <v>0</v>
      </c>
      <c r="AZ47" s="139">
        <f t="shared" si="13"/>
        <v>0</v>
      </c>
      <c r="BA47" s="139">
        <f t="shared" si="25"/>
        <v>1</v>
      </c>
      <c r="BB47" s="132">
        <f>IF(AA47="CONTRATADO",IF(BA47=1,NETWORKDAYS.INTL(E47,AD47,1,[1]FESTIVOS!$B$3:$B$10)-1,AD47-E47))-BD47</f>
        <v>16</v>
      </c>
      <c r="BC47" s="157"/>
      <c r="BD47" s="162">
        <v>0</v>
      </c>
      <c r="BE47" s="382" t="s">
        <v>2052</v>
      </c>
      <c r="BF47" s="160"/>
    </row>
    <row r="48" spans="2:58" ht="43.9" customHeight="1" x14ac:dyDescent="0.25">
      <c r="B48" s="100">
        <f t="shared" si="12"/>
        <v>30</v>
      </c>
      <c r="C48" s="110" t="s">
        <v>447</v>
      </c>
      <c r="D48" s="99" t="s">
        <v>332</v>
      </c>
      <c r="E48" s="140">
        <v>44568</v>
      </c>
      <c r="F48" s="268" t="s">
        <v>4431</v>
      </c>
      <c r="G48" s="96" t="s">
        <v>448</v>
      </c>
      <c r="H48" s="96" t="s">
        <v>449</v>
      </c>
      <c r="I48" s="164" t="s">
        <v>146</v>
      </c>
      <c r="J48" s="133" t="s">
        <v>450</v>
      </c>
      <c r="K48" s="341">
        <v>258750040</v>
      </c>
      <c r="L48" s="96" t="s">
        <v>328</v>
      </c>
      <c r="M48" s="99" t="s">
        <v>451</v>
      </c>
      <c r="N48" s="99"/>
      <c r="O48" s="99">
        <v>202201827</v>
      </c>
      <c r="P48" s="165">
        <v>258750040</v>
      </c>
      <c r="Q48" s="111" t="s">
        <v>146</v>
      </c>
      <c r="R48" s="111" t="s">
        <v>146</v>
      </c>
      <c r="S48" s="111"/>
      <c r="T48" s="111" t="s">
        <v>43</v>
      </c>
      <c r="U48" s="96" t="s">
        <v>452</v>
      </c>
      <c r="V48" s="137">
        <v>44580</v>
      </c>
      <c r="W48" s="166"/>
      <c r="X48" s="166"/>
      <c r="Y48" s="111"/>
      <c r="Z48" s="96" t="s">
        <v>168</v>
      </c>
      <c r="AA48" s="99" t="s">
        <v>169</v>
      </c>
      <c r="AB48" s="96" t="s">
        <v>453</v>
      </c>
      <c r="AC48" s="96"/>
      <c r="AD48" s="97">
        <v>44600</v>
      </c>
      <c r="AE48" s="362" t="s">
        <v>4431</v>
      </c>
      <c r="AF48" s="98"/>
      <c r="AG48" s="166">
        <f t="shared" si="9"/>
        <v>32</v>
      </c>
      <c r="AH48" s="166">
        <f t="shared" si="10"/>
        <v>20</v>
      </c>
      <c r="AI48" s="99" t="s">
        <v>241</v>
      </c>
      <c r="AJ48" s="96" t="s">
        <v>171</v>
      </c>
      <c r="AK48" s="99" t="s">
        <v>1020</v>
      </c>
      <c r="AL48" s="97">
        <v>44589</v>
      </c>
      <c r="AM48" s="214">
        <v>258750040</v>
      </c>
      <c r="AN48" s="96" t="s">
        <v>1021</v>
      </c>
      <c r="AO48" s="96"/>
      <c r="AP48" s="181">
        <f t="shared" si="22"/>
        <v>0</v>
      </c>
      <c r="AQ48" s="138"/>
      <c r="AR48" s="138"/>
      <c r="AS48" s="99" t="s">
        <v>454</v>
      </c>
      <c r="AT48" s="97">
        <v>44544</v>
      </c>
      <c r="AU48" s="138"/>
      <c r="AV48" s="99" t="s">
        <v>174</v>
      </c>
      <c r="AW48" s="99" t="s">
        <v>175</v>
      </c>
      <c r="AX48" s="99"/>
      <c r="AY48" s="167">
        <f t="shared" si="24"/>
        <v>0</v>
      </c>
      <c r="AZ48" s="139">
        <f t="shared" si="13"/>
        <v>0</v>
      </c>
      <c r="BA48" s="139">
        <f t="shared" si="25"/>
        <v>1</v>
      </c>
      <c r="BB48" s="132">
        <f>IF(AA48="CONTRATADO",IF(BA48=1,NETWORKDAYS.INTL(E48,AD48,1,[1]FESTIVOS!$B$3:$B$10)-1,AD48-E48))-BD48</f>
        <v>21</v>
      </c>
      <c r="BC48" s="157"/>
      <c r="BD48" s="162">
        <v>0</v>
      </c>
      <c r="BE48" s="382" t="s">
        <v>2052</v>
      </c>
      <c r="BF48" s="161" t="str">
        <f>+AB48</f>
        <v>Se le reasigna proceso a Lina Echavarria el 19 de enero 2022
21 de enero en espera de la cotizacion
24 DE ENERO HOY SE RECIBE LA COTIZACION
26 DE ENERO EN ESPERA DE LA FIRMA DE LA INVITACION
28 DE ENERO PARA FIRMA DE LA ACEPTACION DE LA OFERTA
a la espera de la numeracion de la aceptacion</v>
      </c>
    </row>
    <row r="49" spans="2:57" ht="43.9" customHeight="1" x14ac:dyDescent="0.25">
      <c r="B49" s="100">
        <f t="shared" si="12"/>
        <v>31</v>
      </c>
      <c r="C49" s="110" t="s">
        <v>455</v>
      </c>
      <c r="D49" s="99" t="s">
        <v>332</v>
      </c>
      <c r="E49" s="140">
        <v>44568</v>
      </c>
      <c r="F49" s="268" t="s">
        <v>4431</v>
      </c>
      <c r="G49" s="96" t="s">
        <v>456</v>
      </c>
      <c r="H49" s="96" t="s">
        <v>457</v>
      </c>
      <c r="I49" s="96" t="s">
        <v>458</v>
      </c>
      <c r="J49" s="96" t="s">
        <v>459</v>
      </c>
      <c r="K49" s="387">
        <v>158917154</v>
      </c>
      <c r="L49" s="96" t="s">
        <v>460</v>
      </c>
      <c r="M49" s="111" t="s">
        <v>146</v>
      </c>
      <c r="N49" s="111"/>
      <c r="O49" s="99">
        <v>202201177</v>
      </c>
      <c r="P49" s="165">
        <v>158917154</v>
      </c>
      <c r="Q49" s="111" t="s">
        <v>146</v>
      </c>
      <c r="R49" s="111" t="s">
        <v>146</v>
      </c>
      <c r="S49" s="111"/>
      <c r="T49" s="283" t="s">
        <v>230</v>
      </c>
      <c r="U49" s="96" t="s">
        <v>42</v>
      </c>
      <c r="V49" s="137">
        <v>44572</v>
      </c>
      <c r="W49" s="166"/>
      <c r="X49" s="166"/>
      <c r="Y49" s="111"/>
      <c r="Z49" s="96" t="s">
        <v>168</v>
      </c>
      <c r="AA49" s="99" t="s">
        <v>169</v>
      </c>
      <c r="AB49" s="96" t="s">
        <v>461</v>
      </c>
      <c r="AC49" s="99"/>
      <c r="AD49" s="97">
        <v>44608</v>
      </c>
      <c r="AE49" s="362" t="s">
        <v>4432</v>
      </c>
      <c r="AF49" s="98"/>
      <c r="AG49" s="166">
        <f t="shared" si="9"/>
        <v>40</v>
      </c>
      <c r="AH49" s="166">
        <f t="shared" si="10"/>
        <v>36</v>
      </c>
      <c r="AI49" s="99" t="s">
        <v>146</v>
      </c>
      <c r="AJ49" s="96" t="s">
        <v>171</v>
      </c>
      <c r="AK49" s="96" t="s">
        <v>1022</v>
      </c>
      <c r="AL49" s="97">
        <v>44600</v>
      </c>
      <c r="AM49" s="388">
        <v>150971296</v>
      </c>
      <c r="AN49" s="96" t="s">
        <v>1023</v>
      </c>
      <c r="AO49" s="96"/>
      <c r="AP49" s="181">
        <f t="shared" si="22"/>
        <v>7945858</v>
      </c>
      <c r="AQ49" s="138"/>
      <c r="AR49" s="138"/>
      <c r="AS49" s="99" t="s">
        <v>146</v>
      </c>
      <c r="AT49" s="99" t="s">
        <v>146</v>
      </c>
      <c r="AU49" s="138"/>
      <c r="AV49" s="99" t="s">
        <v>174</v>
      </c>
      <c r="AW49" s="99" t="s">
        <v>175</v>
      </c>
      <c r="AX49" s="99"/>
      <c r="AY49" s="167">
        <f t="shared" si="24"/>
        <v>5.000000188777607E-2</v>
      </c>
      <c r="AZ49" s="139">
        <f t="shared" si="13"/>
        <v>0</v>
      </c>
      <c r="BA49" s="139">
        <f t="shared" si="25"/>
        <v>0</v>
      </c>
      <c r="BB49" s="132">
        <f>IF(AA49="CONTRATADO",IF(BA49=1,NETWORKDAYS.INTL(E49,AD49,1,[1]FESTIVOS!$B$3:$B$10)-1,AD49-E49))-BD49</f>
        <v>40</v>
      </c>
      <c r="BC49" s="157"/>
      <c r="BD49" s="162">
        <v>0</v>
      </c>
      <c r="BE49" s="382" t="s">
        <v>2052</v>
      </c>
    </row>
    <row r="50" spans="2:57" ht="43.9" customHeight="1" x14ac:dyDescent="0.25">
      <c r="B50" s="100">
        <f t="shared" si="12"/>
        <v>32</v>
      </c>
      <c r="C50" s="110" t="s">
        <v>462</v>
      </c>
      <c r="D50" s="99" t="s">
        <v>332</v>
      </c>
      <c r="E50" s="140">
        <v>44568</v>
      </c>
      <c r="F50" s="268" t="s">
        <v>4431</v>
      </c>
      <c r="G50" s="96" t="s">
        <v>463</v>
      </c>
      <c r="H50" s="96" t="s">
        <v>464</v>
      </c>
      <c r="I50" s="96" t="s">
        <v>465</v>
      </c>
      <c r="J50" s="96" t="s">
        <v>466</v>
      </c>
      <c r="K50" s="387">
        <v>196936886</v>
      </c>
      <c r="L50" s="96" t="s">
        <v>460</v>
      </c>
      <c r="M50" s="111" t="s">
        <v>146</v>
      </c>
      <c r="N50" s="111"/>
      <c r="O50" s="99">
        <v>202201178</v>
      </c>
      <c r="P50" s="165">
        <v>196936885</v>
      </c>
      <c r="Q50" s="111" t="s">
        <v>146</v>
      </c>
      <c r="R50" s="111" t="s">
        <v>146</v>
      </c>
      <c r="S50" s="111"/>
      <c r="T50" s="283" t="s">
        <v>230</v>
      </c>
      <c r="U50" s="96" t="s">
        <v>42</v>
      </c>
      <c r="V50" s="137">
        <v>44572</v>
      </c>
      <c r="W50" s="166"/>
      <c r="X50" s="166"/>
      <c r="Y50" s="111"/>
      <c r="Z50" s="96" t="s">
        <v>168</v>
      </c>
      <c r="AA50" s="99" t="s">
        <v>169</v>
      </c>
      <c r="AB50" s="96" t="s">
        <v>461</v>
      </c>
      <c r="AC50" s="99"/>
      <c r="AD50" s="97">
        <v>44614</v>
      </c>
      <c r="AE50" s="362" t="s">
        <v>4432</v>
      </c>
      <c r="AF50" s="98"/>
      <c r="AG50" s="166">
        <f t="shared" si="9"/>
        <v>46</v>
      </c>
      <c r="AH50" s="166">
        <f t="shared" si="10"/>
        <v>42</v>
      </c>
      <c r="AI50" s="99" t="s">
        <v>146</v>
      </c>
      <c r="AJ50" s="96" t="s">
        <v>171</v>
      </c>
      <c r="AK50" s="96" t="s">
        <v>1024</v>
      </c>
      <c r="AL50" s="97">
        <v>44600</v>
      </c>
      <c r="AM50" s="388">
        <v>187090041</v>
      </c>
      <c r="AN50" s="96" t="s">
        <v>1025</v>
      </c>
      <c r="AO50" s="96"/>
      <c r="AP50" s="181">
        <f t="shared" si="22"/>
        <v>9846845</v>
      </c>
      <c r="AQ50" s="138"/>
      <c r="AR50" s="138"/>
      <c r="AS50" s="99" t="s">
        <v>146</v>
      </c>
      <c r="AT50" s="99" t="s">
        <v>146</v>
      </c>
      <c r="AU50" s="138"/>
      <c r="AV50" s="99" t="s">
        <v>174</v>
      </c>
      <c r="AW50" s="99" t="s">
        <v>175</v>
      </c>
      <c r="AX50" s="99"/>
      <c r="AY50" s="167">
        <f t="shared" si="24"/>
        <v>5.0000003554438247E-2</v>
      </c>
      <c r="AZ50" s="139">
        <f t="shared" si="13"/>
        <v>0</v>
      </c>
      <c r="BA50" s="139">
        <f t="shared" si="25"/>
        <v>0</v>
      </c>
      <c r="BB50" s="132">
        <f>IF(AA50="CONTRATADO",IF(BA50=1,NETWORKDAYS.INTL(E50,AD50,1,[1]FESTIVOS!$B$3:$B$10)-1,AD50-E50))-BD50</f>
        <v>46</v>
      </c>
      <c r="BC50" s="157"/>
      <c r="BD50" s="162">
        <v>0</v>
      </c>
      <c r="BE50" s="382" t="s">
        <v>2052</v>
      </c>
    </row>
    <row r="51" spans="2:57" ht="43.9" customHeight="1" x14ac:dyDescent="0.25">
      <c r="B51" s="100">
        <f t="shared" si="12"/>
        <v>33</v>
      </c>
      <c r="C51" s="110" t="s">
        <v>467</v>
      </c>
      <c r="D51" s="99" t="s">
        <v>332</v>
      </c>
      <c r="E51" s="140">
        <v>44568</v>
      </c>
      <c r="F51" s="268" t="s">
        <v>4431</v>
      </c>
      <c r="G51" s="96" t="s">
        <v>468</v>
      </c>
      <c r="H51" s="96" t="s">
        <v>469</v>
      </c>
      <c r="I51" s="96" t="s">
        <v>470</v>
      </c>
      <c r="J51" s="96" t="s">
        <v>471</v>
      </c>
      <c r="K51" s="387">
        <v>311587783</v>
      </c>
      <c r="L51" s="96" t="s">
        <v>472</v>
      </c>
      <c r="M51" s="111" t="s">
        <v>146</v>
      </c>
      <c r="N51" s="111"/>
      <c r="O51" s="99">
        <v>202201182</v>
      </c>
      <c r="P51" s="165">
        <v>312485031</v>
      </c>
      <c r="Q51" s="111" t="s">
        <v>146</v>
      </c>
      <c r="R51" s="111" t="s">
        <v>146</v>
      </c>
      <c r="S51" s="111"/>
      <c r="T51" s="283" t="s">
        <v>230</v>
      </c>
      <c r="U51" s="96" t="s">
        <v>42</v>
      </c>
      <c r="V51" s="137">
        <v>44572</v>
      </c>
      <c r="W51" s="166"/>
      <c r="X51" s="166"/>
      <c r="Y51" s="111"/>
      <c r="Z51" s="96" t="s">
        <v>168</v>
      </c>
      <c r="AA51" s="99" t="s">
        <v>169</v>
      </c>
      <c r="AB51" s="96" t="s">
        <v>473</v>
      </c>
      <c r="AC51" s="96"/>
      <c r="AD51" s="97">
        <v>44610</v>
      </c>
      <c r="AE51" s="362" t="s">
        <v>4432</v>
      </c>
      <c r="AF51" s="98"/>
      <c r="AG51" s="166">
        <f t="shared" ref="AG51:AG82" si="26">+AD51-E51</f>
        <v>42</v>
      </c>
      <c r="AH51" s="166">
        <f t="shared" ref="AH51:AH82" si="27">+AD51-V51</f>
        <v>38</v>
      </c>
      <c r="AI51" s="99" t="s">
        <v>146</v>
      </c>
      <c r="AJ51" s="96" t="s">
        <v>171</v>
      </c>
      <c r="AK51" s="96" t="s">
        <v>1026</v>
      </c>
      <c r="AL51" s="97">
        <v>44600</v>
      </c>
      <c r="AM51" s="388">
        <v>296008394</v>
      </c>
      <c r="AN51" s="96" t="s">
        <v>1027</v>
      </c>
      <c r="AO51" s="96"/>
      <c r="AP51" s="181">
        <f t="shared" si="22"/>
        <v>15579389</v>
      </c>
      <c r="AQ51" s="138"/>
      <c r="AR51" s="138"/>
      <c r="AS51" s="99" t="s">
        <v>146</v>
      </c>
      <c r="AT51" s="99" t="s">
        <v>146</v>
      </c>
      <c r="AU51" s="138"/>
      <c r="AV51" s="99" t="s">
        <v>174</v>
      </c>
      <c r="AW51" s="99" t="s">
        <v>175</v>
      </c>
      <c r="AX51" s="99"/>
      <c r="AY51" s="167">
        <f t="shared" si="24"/>
        <v>4.9999999518594733E-2</v>
      </c>
      <c r="AZ51" s="139">
        <f t="shared" si="13"/>
        <v>0</v>
      </c>
      <c r="BA51" s="139">
        <f t="shared" si="25"/>
        <v>0</v>
      </c>
      <c r="BB51" s="132">
        <f>IF(AA51="CONTRATADO",IF(BA51=1,NETWORKDAYS.INTL(E51,AD51,1,[1]FESTIVOS!$B$3:$B$10)-1,AD51-E51))-BD51</f>
        <v>42</v>
      </c>
      <c r="BC51" s="157"/>
      <c r="BD51" s="162">
        <v>0</v>
      </c>
      <c r="BE51" s="382" t="s">
        <v>2052</v>
      </c>
    </row>
    <row r="52" spans="2:57" ht="43.9" customHeight="1" x14ac:dyDescent="0.25">
      <c r="B52" s="100">
        <f t="shared" si="12"/>
        <v>34</v>
      </c>
      <c r="C52" s="110" t="s">
        <v>474</v>
      </c>
      <c r="D52" s="99" t="s">
        <v>332</v>
      </c>
      <c r="E52" s="140">
        <v>44568</v>
      </c>
      <c r="F52" s="268" t="s">
        <v>4431</v>
      </c>
      <c r="G52" s="96" t="s">
        <v>475</v>
      </c>
      <c r="H52" s="96" t="s">
        <v>476</v>
      </c>
      <c r="I52" s="96" t="s">
        <v>477</v>
      </c>
      <c r="J52" s="96" t="s">
        <v>478</v>
      </c>
      <c r="K52" s="341">
        <v>440961155</v>
      </c>
      <c r="L52" s="96" t="s">
        <v>479</v>
      </c>
      <c r="M52" s="111" t="s">
        <v>146</v>
      </c>
      <c r="N52" s="111"/>
      <c r="O52" s="99">
        <v>202201181</v>
      </c>
      <c r="P52" s="165">
        <v>445135271</v>
      </c>
      <c r="Q52" s="111" t="s">
        <v>146</v>
      </c>
      <c r="R52" s="111" t="s">
        <v>146</v>
      </c>
      <c r="S52" s="111"/>
      <c r="T52" s="283" t="s">
        <v>230</v>
      </c>
      <c r="U52" s="96" t="s">
        <v>42</v>
      </c>
      <c r="V52" s="137">
        <v>44572</v>
      </c>
      <c r="W52" s="166"/>
      <c r="X52" s="166"/>
      <c r="Y52" s="111"/>
      <c r="Z52" s="96" t="s">
        <v>168</v>
      </c>
      <c r="AA52" s="99" t="s">
        <v>169</v>
      </c>
      <c r="AB52" s="96" t="s">
        <v>473</v>
      </c>
      <c r="AC52" s="96"/>
      <c r="AD52" s="97">
        <v>44617</v>
      </c>
      <c r="AE52" s="362" t="s">
        <v>4432</v>
      </c>
      <c r="AF52" s="98"/>
      <c r="AG52" s="166">
        <f t="shared" si="26"/>
        <v>49</v>
      </c>
      <c r="AH52" s="166">
        <f t="shared" si="27"/>
        <v>45</v>
      </c>
      <c r="AI52" s="99" t="s">
        <v>146</v>
      </c>
      <c r="AJ52" s="96" t="s">
        <v>171</v>
      </c>
      <c r="AK52" s="96" t="s">
        <v>1028</v>
      </c>
      <c r="AL52" s="97">
        <v>44600</v>
      </c>
      <c r="AM52" s="388">
        <v>418913098</v>
      </c>
      <c r="AN52" s="96" t="s">
        <v>1029</v>
      </c>
      <c r="AO52" s="96"/>
      <c r="AP52" s="181">
        <f t="shared" si="22"/>
        <v>22048057</v>
      </c>
      <c r="AQ52" s="138"/>
      <c r="AR52" s="138"/>
      <c r="AS52" s="99" t="s">
        <v>146</v>
      </c>
      <c r="AT52" s="99" t="s">
        <v>146</v>
      </c>
      <c r="AU52" s="138"/>
      <c r="AV52" s="99" t="s">
        <v>1000</v>
      </c>
      <c r="AW52" s="99" t="s">
        <v>692</v>
      </c>
      <c r="AX52" s="99"/>
      <c r="AY52" s="167">
        <f t="shared" si="24"/>
        <v>4.9999998299169915E-2</v>
      </c>
      <c r="AZ52" s="139">
        <f t="shared" si="13"/>
        <v>0</v>
      </c>
      <c r="BA52" s="139">
        <f t="shared" si="25"/>
        <v>0</v>
      </c>
      <c r="BB52" s="132">
        <f>IF(AA52="CONTRATADO",IF(BA52=1,NETWORKDAYS.INTL(E52,AD52,1,[1]FESTIVOS!$B$3:$B$10)-1,AD52-E52))-BD52</f>
        <v>49</v>
      </c>
      <c r="BC52" s="157"/>
      <c r="BD52" s="162">
        <v>0</v>
      </c>
      <c r="BE52" s="382" t="s">
        <v>2052</v>
      </c>
    </row>
    <row r="53" spans="2:57" ht="43.9" customHeight="1" x14ac:dyDescent="0.25">
      <c r="B53" s="100">
        <f t="shared" si="12"/>
        <v>35</v>
      </c>
      <c r="C53" s="110" t="s">
        <v>480</v>
      </c>
      <c r="D53" s="99" t="s">
        <v>332</v>
      </c>
      <c r="E53" s="140">
        <v>44568</v>
      </c>
      <c r="F53" s="268" t="s">
        <v>4431</v>
      </c>
      <c r="G53" s="96" t="s">
        <v>481</v>
      </c>
      <c r="H53" s="96" t="s">
        <v>482</v>
      </c>
      <c r="I53" s="96" t="s">
        <v>465</v>
      </c>
      <c r="J53" s="96" t="s">
        <v>483</v>
      </c>
      <c r="K53" s="387">
        <v>457147463</v>
      </c>
      <c r="L53" s="96" t="s">
        <v>484</v>
      </c>
      <c r="M53" s="111" t="s">
        <v>146</v>
      </c>
      <c r="N53" s="111"/>
      <c r="O53" s="99" t="s">
        <v>485</v>
      </c>
      <c r="P53" s="165">
        <v>457250820</v>
      </c>
      <c r="Q53" s="111" t="s">
        <v>146</v>
      </c>
      <c r="R53" s="111" t="s">
        <v>146</v>
      </c>
      <c r="S53" s="111"/>
      <c r="T53" s="283" t="s">
        <v>230</v>
      </c>
      <c r="U53" s="96" t="s">
        <v>42</v>
      </c>
      <c r="V53" s="137">
        <v>44572</v>
      </c>
      <c r="W53" s="166"/>
      <c r="X53" s="166"/>
      <c r="Y53" s="111"/>
      <c r="Z53" s="96" t="s">
        <v>168</v>
      </c>
      <c r="AA53" s="99" t="s">
        <v>169</v>
      </c>
      <c r="AB53" s="96" t="s">
        <v>473</v>
      </c>
      <c r="AC53" s="96"/>
      <c r="AD53" s="97">
        <v>44608</v>
      </c>
      <c r="AE53" s="362" t="s">
        <v>4432</v>
      </c>
      <c r="AF53" s="98"/>
      <c r="AG53" s="166">
        <f t="shared" si="26"/>
        <v>40</v>
      </c>
      <c r="AH53" s="166">
        <f t="shared" si="27"/>
        <v>36</v>
      </c>
      <c r="AI53" s="99" t="s">
        <v>146</v>
      </c>
      <c r="AJ53" s="96" t="s">
        <v>171</v>
      </c>
      <c r="AK53" s="96" t="s">
        <v>1030</v>
      </c>
      <c r="AL53" s="97">
        <v>44600</v>
      </c>
      <c r="AM53" s="388">
        <v>434290090</v>
      </c>
      <c r="AN53" s="96" t="s">
        <v>1031</v>
      </c>
      <c r="AO53" s="96"/>
      <c r="AP53" s="181">
        <f t="shared" si="22"/>
        <v>22857373</v>
      </c>
      <c r="AQ53" s="138"/>
      <c r="AR53" s="138"/>
      <c r="AS53" s="99" t="s">
        <v>146</v>
      </c>
      <c r="AT53" s="99" t="s">
        <v>146</v>
      </c>
      <c r="AU53" s="138"/>
      <c r="AV53" s="99" t="s">
        <v>174</v>
      </c>
      <c r="AW53" s="99" t="s">
        <v>175</v>
      </c>
      <c r="AX53" s="99"/>
      <c r="AY53" s="167">
        <f t="shared" si="24"/>
        <v>4.9999999671878306E-2</v>
      </c>
      <c r="AZ53" s="139">
        <f t="shared" si="13"/>
        <v>0</v>
      </c>
      <c r="BA53" s="139">
        <f t="shared" si="25"/>
        <v>0</v>
      </c>
      <c r="BB53" s="132">
        <f>IF(AA53="CONTRATADO",IF(BA53=1,NETWORKDAYS.INTL(E53,AD53,1,[1]FESTIVOS!$B$3:$B$10)-1,AD53-E53))-BD53</f>
        <v>40</v>
      </c>
      <c r="BC53" s="157"/>
      <c r="BD53" s="162">
        <v>0</v>
      </c>
      <c r="BE53" s="382" t="s">
        <v>2052</v>
      </c>
    </row>
    <row r="54" spans="2:57" ht="43.9" customHeight="1" x14ac:dyDescent="0.25">
      <c r="B54" s="100">
        <f t="shared" si="12"/>
        <v>36</v>
      </c>
      <c r="C54" s="110" t="s">
        <v>486</v>
      </c>
      <c r="D54" s="99" t="s">
        <v>28</v>
      </c>
      <c r="E54" s="140">
        <v>44574</v>
      </c>
      <c r="F54" s="268" t="s">
        <v>4431</v>
      </c>
      <c r="G54" s="96" t="s">
        <v>487</v>
      </c>
      <c r="H54" s="96" t="s">
        <v>488</v>
      </c>
      <c r="I54" s="96" t="s">
        <v>489</v>
      </c>
      <c r="J54" s="133" t="s">
        <v>490</v>
      </c>
      <c r="K54" s="341">
        <v>346040503</v>
      </c>
      <c r="L54" s="96" t="s">
        <v>328</v>
      </c>
      <c r="M54" s="99" t="s">
        <v>146</v>
      </c>
      <c r="N54" s="99"/>
      <c r="O54" s="99">
        <v>202200899</v>
      </c>
      <c r="P54" s="165">
        <v>390508020</v>
      </c>
      <c r="Q54" s="111" t="s">
        <v>146</v>
      </c>
      <c r="R54" s="111" t="s">
        <v>146</v>
      </c>
      <c r="S54" s="111"/>
      <c r="T54" s="111" t="s">
        <v>230</v>
      </c>
      <c r="U54" s="96" t="s">
        <v>29</v>
      </c>
      <c r="V54" s="140">
        <v>44574</v>
      </c>
      <c r="W54" s="166"/>
      <c r="X54" s="166"/>
      <c r="Y54" s="99"/>
      <c r="Z54" s="96" t="s">
        <v>168</v>
      </c>
      <c r="AA54" s="99" t="s">
        <v>169</v>
      </c>
      <c r="AB54" s="99"/>
      <c r="AC54" s="99"/>
      <c r="AD54" s="97">
        <v>44608</v>
      </c>
      <c r="AE54" s="362" t="s">
        <v>4432</v>
      </c>
      <c r="AF54" s="98"/>
      <c r="AG54" s="166">
        <f t="shared" si="26"/>
        <v>34</v>
      </c>
      <c r="AH54" s="166">
        <f t="shared" si="27"/>
        <v>34</v>
      </c>
      <c r="AI54" s="99" t="s">
        <v>146</v>
      </c>
      <c r="AJ54" s="96" t="s">
        <v>491</v>
      </c>
      <c r="AK54" s="96" t="s">
        <v>1032</v>
      </c>
      <c r="AL54" s="97">
        <v>44586</v>
      </c>
      <c r="AM54" s="214">
        <v>328131896</v>
      </c>
      <c r="AN54" s="96" t="s">
        <v>1033</v>
      </c>
      <c r="AO54" s="96"/>
      <c r="AP54" s="181">
        <f t="shared" si="22"/>
        <v>17908607</v>
      </c>
      <c r="AQ54" s="138"/>
      <c r="AR54" s="138"/>
      <c r="AS54" s="99" t="s">
        <v>146</v>
      </c>
      <c r="AT54" s="99" t="s">
        <v>146</v>
      </c>
      <c r="AU54" s="138"/>
      <c r="AV54" s="99" t="s">
        <v>1040</v>
      </c>
      <c r="AW54" s="99" t="s">
        <v>692</v>
      </c>
      <c r="AX54" s="99"/>
      <c r="AY54" s="167">
        <f t="shared" si="24"/>
        <v>5.1752921535893157E-2</v>
      </c>
      <c r="AZ54" s="139">
        <f t="shared" si="13"/>
        <v>1</v>
      </c>
      <c r="BA54" s="139">
        <f t="shared" si="25"/>
        <v>0</v>
      </c>
      <c r="BB54" s="132">
        <f>IF(AA54="CONTRATADO",IF(BA54=1,NETWORKDAYS.INTL(E54,AD54,1,[1]FESTIVOS!$B$3:$B$10)-1,AD54-E54))-BD54</f>
        <v>34</v>
      </c>
      <c r="BC54" s="157"/>
      <c r="BD54" s="162">
        <v>0</v>
      </c>
      <c r="BE54" s="382" t="s">
        <v>2052</v>
      </c>
    </row>
    <row r="55" spans="2:57" ht="43.9" customHeight="1" x14ac:dyDescent="0.25">
      <c r="B55" s="100">
        <f t="shared" si="12"/>
        <v>37</v>
      </c>
      <c r="C55" s="110" t="s">
        <v>492</v>
      </c>
      <c r="D55" s="99" t="s">
        <v>332</v>
      </c>
      <c r="E55" s="140">
        <v>44575</v>
      </c>
      <c r="F55" s="268" t="s">
        <v>4431</v>
      </c>
      <c r="G55" s="99" t="s">
        <v>493</v>
      </c>
      <c r="H55" s="99" t="s">
        <v>494</v>
      </c>
      <c r="I55" s="99" t="s">
        <v>146</v>
      </c>
      <c r="J55" s="133" t="s">
        <v>495</v>
      </c>
      <c r="K55" s="341">
        <v>463917000</v>
      </c>
      <c r="L55" s="96" t="s">
        <v>460</v>
      </c>
      <c r="M55" s="96" t="s">
        <v>1034</v>
      </c>
      <c r="N55" s="96"/>
      <c r="O55" s="99">
        <v>202200920</v>
      </c>
      <c r="P55" s="165">
        <v>463917000</v>
      </c>
      <c r="Q55" s="111" t="s">
        <v>146</v>
      </c>
      <c r="R55" s="111" t="s">
        <v>146</v>
      </c>
      <c r="S55" s="111"/>
      <c r="T55" s="111" t="s">
        <v>43</v>
      </c>
      <c r="U55" s="96" t="s">
        <v>206</v>
      </c>
      <c r="V55" s="97">
        <v>44578</v>
      </c>
      <c r="W55" s="166"/>
      <c r="X55" s="166"/>
      <c r="Y55" s="99"/>
      <c r="Z55" s="96" t="s">
        <v>168</v>
      </c>
      <c r="AA55" s="99" t="s">
        <v>169</v>
      </c>
      <c r="AB55" s="96" t="s">
        <v>496</v>
      </c>
      <c r="AC55" s="96"/>
      <c r="AD55" s="97">
        <v>44599</v>
      </c>
      <c r="AE55" s="362" t="s">
        <v>4431</v>
      </c>
      <c r="AF55" s="98"/>
      <c r="AG55" s="166">
        <f t="shared" si="26"/>
        <v>24</v>
      </c>
      <c r="AH55" s="166">
        <f t="shared" si="27"/>
        <v>21</v>
      </c>
      <c r="AI55" s="99" t="s">
        <v>258</v>
      </c>
      <c r="AJ55" s="96" t="s">
        <v>171</v>
      </c>
      <c r="AK55" s="99" t="s">
        <v>1035</v>
      </c>
      <c r="AL55" s="97">
        <v>44588</v>
      </c>
      <c r="AM55" s="214">
        <v>463146394</v>
      </c>
      <c r="AN55" s="96" t="s">
        <v>1036</v>
      </c>
      <c r="AO55" s="96"/>
      <c r="AP55" s="181">
        <f t="shared" si="22"/>
        <v>770606</v>
      </c>
      <c r="AQ55" s="138"/>
      <c r="AR55" s="138"/>
      <c r="AS55" s="96" t="s">
        <v>497</v>
      </c>
      <c r="AT55" s="96" t="s">
        <v>498</v>
      </c>
      <c r="AU55" s="138"/>
      <c r="AV55" s="99" t="s">
        <v>1000</v>
      </c>
      <c r="AW55" s="99" t="s">
        <v>692</v>
      </c>
      <c r="AX55" s="99"/>
      <c r="AY55" s="167">
        <f t="shared" si="24"/>
        <v>1.661085927008495E-3</v>
      </c>
      <c r="AZ55" s="139">
        <f t="shared" si="13"/>
        <v>0</v>
      </c>
      <c r="BA55" s="139">
        <f t="shared" si="25"/>
        <v>1</v>
      </c>
      <c r="BB55" s="132">
        <f>IF(AA55="CONTRATADO",IF(BA55=1,NETWORKDAYS.INTL(E55,AD55,1,[1]FESTIVOS!$B$3:$B$10)-1,AD55-E55))-BD55</f>
        <v>16</v>
      </c>
      <c r="BC55" s="157"/>
      <c r="BD55" s="162">
        <v>0</v>
      </c>
      <c r="BE55" s="382" t="s">
        <v>2052</v>
      </c>
    </row>
    <row r="56" spans="2:57" ht="43.9" customHeight="1" x14ac:dyDescent="0.25">
      <c r="B56" s="100">
        <f t="shared" si="12"/>
        <v>38</v>
      </c>
      <c r="C56" s="110" t="s">
        <v>499</v>
      </c>
      <c r="D56" s="99" t="s">
        <v>332</v>
      </c>
      <c r="E56" s="140">
        <v>44575</v>
      </c>
      <c r="F56" s="268" t="s">
        <v>4431</v>
      </c>
      <c r="G56" s="99" t="s">
        <v>500</v>
      </c>
      <c r="H56" s="99" t="s">
        <v>501</v>
      </c>
      <c r="I56" s="99" t="s">
        <v>146</v>
      </c>
      <c r="J56" s="133" t="s">
        <v>502</v>
      </c>
      <c r="K56" s="341">
        <v>323631500</v>
      </c>
      <c r="L56" s="96" t="s">
        <v>328</v>
      </c>
      <c r="M56" s="99" t="s">
        <v>3502</v>
      </c>
      <c r="N56" s="99"/>
      <c r="O56" s="99">
        <v>202201166</v>
      </c>
      <c r="P56" s="165">
        <v>405622000</v>
      </c>
      <c r="Q56" s="99" t="s">
        <v>146</v>
      </c>
      <c r="R56" s="99" t="s">
        <v>146</v>
      </c>
      <c r="S56" s="111"/>
      <c r="T56" s="111" t="s">
        <v>43</v>
      </c>
      <c r="U56" s="96" t="s">
        <v>503</v>
      </c>
      <c r="V56" s="97">
        <v>44578</v>
      </c>
      <c r="W56" s="166"/>
      <c r="X56" s="166"/>
      <c r="Y56" s="99"/>
      <c r="Z56" s="96" t="s">
        <v>168</v>
      </c>
      <c r="AA56" s="99" t="s">
        <v>169</v>
      </c>
      <c r="AB56" s="96" t="s">
        <v>504</v>
      </c>
      <c r="AC56" s="96"/>
      <c r="AD56" s="97">
        <v>44600</v>
      </c>
      <c r="AE56" s="362" t="s">
        <v>4431</v>
      </c>
      <c r="AF56" s="98"/>
      <c r="AG56" s="166">
        <f t="shared" si="26"/>
        <v>25</v>
      </c>
      <c r="AH56" s="166">
        <f t="shared" si="27"/>
        <v>22</v>
      </c>
      <c r="AI56" s="99" t="s">
        <v>258</v>
      </c>
      <c r="AJ56" s="96" t="s">
        <v>171</v>
      </c>
      <c r="AK56" s="99" t="s">
        <v>1037</v>
      </c>
      <c r="AL56" s="97">
        <v>44587</v>
      </c>
      <c r="AM56" s="214">
        <v>323631500</v>
      </c>
      <c r="AN56" s="96" t="s">
        <v>1038</v>
      </c>
      <c r="AO56" s="96"/>
      <c r="AP56" s="181">
        <f t="shared" si="22"/>
        <v>0</v>
      </c>
      <c r="AQ56" s="138"/>
      <c r="AR56" s="138"/>
      <c r="AS56" s="99" t="s">
        <v>146</v>
      </c>
      <c r="AT56" s="99" t="s">
        <v>146</v>
      </c>
      <c r="AU56" s="138"/>
      <c r="AV56" s="99" t="s">
        <v>174</v>
      </c>
      <c r="AW56" s="99" t="s">
        <v>175</v>
      </c>
      <c r="AX56" s="99"/>
      <c r="AY56" s="167">
        <f t="shared" si="24"/>
        <v>0</v>
      </c>
      <c r="AZ56" s="139">
        <f t="shared" si="13"/>
        <v>0</v>
      </c>
      <c r="BA56" s="139">
        <f t="shared" si="25"/>
        <v>1</v>
      </c>
      <c r="BB56" s="132">
        <f>IF(AA56="CONTRATADO",IF(BA56=1,NETWORKDAYS.INTL(E56,AD56,1,[1]FESTIVOS!$B$3:$B$10)-1,AD56-E56))-BD56</f>
        <v>17</v>
      </c>
      <c r="BC56" s="157"/>
      <c r="BD56" s="162">
        <v>0</v>
      </c>
      <c r="BE56" s="382" t="s">
        <v>2052</v>
      </c>
    </row>
    <row r="57" spans="2:57" ht="43.9" customHeight="1" x14ac:dyDescent="0.25">
      <c r="B57" s="100">
        <f t="shared" si="12"/>
        <v>39</v>
      </c>
      <c r="C57" s="110" t="s">
        <v>505</v>
      </c>
      <c r="D57" s="99" t="s">
        <v>332</v>
      </c>
      <c r="E57" s="140">
        <v>44575</v>
      </c>
      <c r="F57" s="268" t="s">
        <v>4431</v>
      </c>
      <c r="G57" s="99" t="s">
        <v>506</v>
      </c>
      <c r="H57" s="99" t="s">
        <v>507</v>
      </c>
      <c r="I57" s="99" t="s">
        <v>146</v>
      </c>
      <c r="J57" s="133" t="s">
        <v>508</v>
      </c>
      <c r="K57" s="341">
        <v>23902221</v>
      </c>
      <c r="L57" s="99" t="s">
        <v>509</v>
      </c>
      <c r="M57" s="99" t="s">
        <v>988</v>
      </c>
      <c r="N57" s="99"/>
      <c r="O57" s="99">
        <v>202201123</v>
      </c>
      <c r="P57" s="165">
        <v>23920000</v>
      </c>
      <c r="Q57" s="99" t="s">
        <v>146</v>
      </c>
      <c r="R57" s="99" t="s">
        <v>146</v>
      </c>
      <c r="S57" s="111"/>
      <c r="T57" s="111" t="s">
        <v>43</v>
      </c>
      <c r="U57" s="96" t="s">
        <v>503</v>
      </c>
      <c r="V57" s="97">
        <v>44578</v>
      </c>
      <c r="W57" s="166"/>
      <c r="X57" s="166"/>
      <c r="Y57" s="99"/>
      <c r="Z57" s="96" t="s">
        <v>168</v>
      </c>
      <c r="AA57" s="99" t="s">
        <v>169</v>
      </c>
      <c r="AB57" s="96" t="s">
        <v>510</v>
      </c>
      <c r="AC57" s="96"/>
      <c r="AD57" s="97">
        <v>44588</v>
      </c>
      <c r="AE57" s="362" t="s">
        <v>4431</v>
      </c>
      <c r="AF57" s="98"/>
      <c r="AG57" s="166">
        <f t="shared" si="26"/>
        <v>13</v>
      </c>
      <c r="AH57" s="166">
        <f t="shared" si="27"/>
        <v>10</v>
      </c>
      <c r="AI57" s="99" t="s">
        <v>258</v>
      </c>
      <c r="AJ57" s="96" t="s">
        <v>171</v>
      </c>
      <c r="AK57" s="99" t="s">
        <v>986</v>
      </c>
      <c r="AL57" s="97">
        <v>44585</v>
      </c>
      <c r="AM57" s="214">
        <v>23319240</v>
      </c>
      <c r="AN57" s="96" t="s">
        <v>987</v>
      </c>
      <c r="AO57" s="96"/>
      <c r="AP57" s="181">
        <f t="shared" si="22"/>
        <v>582981</v>
      </c>
      <c r="AQ57" s="138"/>
      <c r="AR57" s="138"/>
      <c r="AS57" s="99" t="s">
        <v>511</v>
      </c>
      <c r="AT57" s="99" t="s">
        <v>512</v>
      </c>
      <c r="AU57" s="138"/>
      <c r="AV57" s="99" t="s">
        <v>174</v>
      </c>
      <c r="AW57" s="99" t="s">
        <v>175</v>
      </c>
      <c r="AX57" s="99"/>
      <c r="AY57" s="167">
        <f t="shared" si="24"/>
        <v>2.4390243902439025E-2</v>
      </c>
      <c r="AZ57" s="139">
        <f t="shared" si="13"/>
        <v>0</v>
      </c>
      <c r="BA57" s="139">
        <f t="shared" si="25"/>
        <v>1</v>
      </c>
      <c r="BB57" s="132">
        <f>IF(AA57="CONTRATADO",IF(BA57=1,NETWORKDAYS.INTL(E57,AD57,1,[1]FESTIVOS!$B$3:$B$10)-1,AD57-E57))-BD57</f>
        <v>9</v>
      </c>
      <c r="BC57" s="157"/>
      <c r="BD57" s="162">
        <v>0</v>
      </c>
      <c r="BE57" s="382" t="s">
        <v>2052</v>
      </c>
    </row>
    <row r="58" spans="2:57" ht="43.9" customHeight="1" x14ac:dyDescent="0.25">
      <c r="B58" s="100">
        <f t="shared" si="12"/>
        <v>40</v>
      </c>
      <c r="C58" s="110" t="s">
        <v>513</v>
      </c>
      <c r="D58" s="99" t="s">
        <v>332</v>
      </c>
      <c r="E58" s="140">
        <v>44575</v>
      </c>
      <c r="F58" s="268" t="s">
        <v>4431</v>
      </c>
      <c r="G58" s="99" t="s">
        <v>514</v>
      </c>
      <c r="H58" s="99" t="s">
        <v>515</v>
      </c>
      <c r="I58" s="99" t="s">
        <v>146</v>
      </c>
      <c r="J58" s="133" t="s">
        <v>516</v>
      </c>
      <c r="K58" s="341">
        <v>82946029</v>
      </c>
      <c r="L58" s="96" t="s">
        <v>328</v>
      </c>
      <c r="M58" s="99" t="s">
        <v>517</v>
      </c>
      <c r="N58" s="99"/>
      <c r="O58" s="99">
        <v>202201167</v>
      </c>
      <c r="P58" s="165">
        <v>83000000</v>
      </c>
      <c r="Q58" s="99" t="s">
        <v>146</v>
      </c>
      <c r="R58" s="99" t="s">
        <v>146</v>
      </c>
      <c r="S58" s="111"/>
      <c r="T58" s="111" t="s">
        <v>43</v>
      </c>
      <c r="U58" s="96" t="s">
        <v>401</v>
      </c>
      <c r="V58" s="97">
        <v>44580</v>
      </c>
      <c r="W58" s="166"/>
      <c r="X58" s="166"/>
      <c r="Y58" s="99"/>
      <c r="Z58" s="96" t="s">
        <v>168</v>
      </c>
      <c r="AA58" s="99" t="s">
        <v>169</v>
      </c>
      <c r="AB58" s="96" t="s">
        <v>518</v>
      </c>
      <c r="AC58" s="96"/>
      <c r="AD58" s="97">
        <v>44602</v>
      </c>
      <c r="AE58" s="362" t="s">
        <v>4431</v>
      </c>
      <c r="AF58" s="98"/>
      <c r="AG58" s="166">
        <f t="shared" si="26"/>
        <v>27</v>
      </c>
      <c r="AH58" s="166">
        <f t="shared" si="27"/>
        <v>22</v>
      </c>
      <c r="AI58" s="99" t="s">
        <v>258</v>
      </c>
      <c r="AJ58" s="96" t="s">
        <v>171</v>
      </c>
      <c r="AK58" s="99" t="s">
        <v>1041</v>
      </c>
      <c r="AL58" s="97">
        <v>44589</v>
      </c>
      <c r="AM58" s="214">
        <v>67030000</v>
      </c>
      <c r="AN58" s="96" t="s">
        <v>1042</v>
      </c>
      <c r="AO58" s="96"/>
      <c r="AP58" s="181">
        <f t="shared" si="22"/>
        <v>15916029</v>
      </c>
      <c r="AQ58" s="138"/>
      <c r="AR58" s="138"/>
      <c r="AS58" s="99" t="s">
        <v>146</v>
      </c>
      <c r="AT58" s="99" t="s">
        <v>146</v>
      </c>
      <c r="AU58" s="138"/>
      <c r="AV58" s="99" t="s">
        <v>174</v>
      </c>
      <c r="AW58" s="99" t="s">
        <v>175</v>
      </c>
      <c r="AX58" s="99"/>
      <c r="AY58" s="167">
        <f t="shared" si="24"/>
        <v>0.19188415879438905</v>
      </c>
      <c r="AZ58" s="139">
        <f t="shared" si="13"/>
        <v>0</v>
      </c>
      <c r="BA58" s="139">
        <f t="shared" si="25"/>
        <v>1</v>
      </c>
      <c r="BB58" s="132">
        <f>IF(AA58="CONTRATADO",IF(BA58=1,NETWORKDAYS.INTL(E58,AD58,1,[1]FESTIVOS!$B$3:$B$10)-1,AD58-E58))-BD58</f>
        <v>19</v>
      </c>
      <c r="BC58" s="157"/>
      <c r="BD58" s="162">
        <v>0</v>
      </c>
      <c r="BE58" s="382" t="s">
        <v>2052</v>
      </c>
    </row>
    <row r="59" spans="2:57" ht="43.9" customHeight="1" x14ac:dyDescent="0.25">
      <c r="B59" s="100">
        <f t="shared" si="12"/>
        <v>41</v>
      </c>
      <c r="C59" s="110" t="s">
        <v>519</v>
      </c>
      <c r="D59" s="99" t="s">
        <v>332</v>
      </c>
      <c r="E59" s="140">
        <v>44575</v>
      </c>
      <c r="F59" s="268" t="s">
        <v>4431</v>
      </c>
      <c r="G59" s="99" t="s">
        <v>520</v>
      </c>
      <c r="H59" s="99" t="s">
        <v>521</v>
      </c>
      <c r="I59" s="99" t="s">
        <v>146</v>
      </c>
      <c r="J59" s="133" t="s">
        <v>522</v>
      </c>
      <c r="K59" s="341">
        <v>130598474</v>
      </c>
      <c r="L59" s="96" t="s">
        <v>484</v>
      </c>
      <c r="M59" s="99" t="s">
        <v>523</v>
      </c>
      <c r="N59" s="99"/>
      <c r="O59" s="99">
        <v>202201824</v>
      </c>
      <c r="P59" s="165">
        <v>130598474</v>
      </c>
      <c r="Q59" s="99" t="s">
        <v>146</v>
      </c>
      <c r="R59" s="99" t="s">
        <v>146</v>
      </c>
      <c r="S59" s="111"/>
      <c r="T59" s="111" t="s">
        <v>43</v>
      </c>
      <c r="U59" s="96" t="s">
        <v>452</v>
      </c>
      <c r="V59" s="97">
        <v>44580</v>
      </c>
      <c r="W59" s="166"/>
      <c r="X59" s="166"/>
      <c r="Y59" s="99"/>
      <c r="Z59" s="96" t="s">
        <v>168</v>
      </c>
      <c r="AA59" s="99" t="s">
        <v>169</v>
      </c>
      <c r="AB59" s="96" t="s">
        <v>524</v>
      </c>
      <c r="AC59" s="96"/>
      <c r="AD59" s="97">
        <v>44600</v>
      </c>
      <c r="AE59" s="362" t="s">
        <v>4431</v>
      </c>
      <c r="AF59" s="98"/>
      <c r="AG59" s="166">
        <f t="shared" si="26"/>
        <v>25</v>
      </c>
      <c r="AH59" s="166">
        <f t="shared" si="27"/>
        <v>20</v>
      </c>
      <c r="AI59" s="99" t="s">
        <v>258</v>
      </c>
      <c r="AJ59" s="96" t="s">
        <v>171</v>
      </c>
      <c r="AK59" s="99" t="s">
        <v>1043</v>
      </c>
      <c r="AL59" s="97">
        <v>44588</v>
      </c>
      <c r="AM59" s="214">
        <v>130598474</v>
      </c>
      <c r="AN59" s="96" t="s">
        <v>1044</v>
      </c>
      <c r="AO59" s="96"/>
      <c r="AP59" s="181">
        <f t="shared" si="22"/>
        <v>0</v>
      </c>
      <c r="AQ59" s="138"/>
      <c r="AR59" s="138"/>
      <c r="AS59" s="99" t="s">
        <v>525</v>
      </c>
      <c r="AT59" s="137">
        <v>44544</v>
      </c>
      <c r="AU59" s="138"/>
      <c r="AV59" s="99" t="s">
        <v>1000</v>
      </c>
      <c r="AW59" s="99" t="s">
        <v>692</v>
      </c>
      <c r="AX59" s="99"/>
      <c r="AY59" s="167">
        <f t="shared" si="24"/>
        <v>0</v>
      </c>
      <c r="AZ59" s="139">
        <f t="shared" si="13"/>
        <v>0</v>
      </c>
      <c r="BA59" s="139">
        <f t="shared" si="25"/>
        <v>1</v>
      </c>
      <c r="BB59" s="132">
        <f>IF(AA59="CONTRATADO",IF(BA59=1,NETWORKDAYS.INTL(E59,AD59,1,[1]FESTIVOS!$B$3:$B$10)-1,AD59-E59))-BD59</f>
        <v>17</v>
      </c>
      <c r="BC59" s="157"/>
      <c r="BD59" s="162">
        <v>0</v>
      </c>
      <c r="BE59" s="382" t="s">
        <v>2052</v>
      </c>
    </row>
    <row r="60" spans="2:57" ht="43.9" customHeight="1" x14ac:dyDescent="0.25">
      <c r="B60" s="100">
        <f t="shared" si="12"/>
        <v>42</v>
      </c>
      <c r="C60" s="110" t="s">
        <v>526</v>
      </c>
      <c r="D60" s="99" t="s">
        <v>332</v>
      </c>
      <c r="E60" s="140">
        <v>44575</v>
      </c>
      <c r="F60" s="268" t="s">
        <v>4431</v>
      </c>
      <c r="G60" s="99" t="s">
        <v>527</v>
      </c>
      <c r="H60" s="99" t="s">
        <v>528</v>
      </c>
      <c r="I60" s="99" t="s">
        <v>146</v>
      </c>
      <c r="J60" s="133" t="s">
        <v>529</v>
      </c>
      <c r="K60" s="341">
        <v>400943404</v>
      </c>
      <c r="L60" s="96" t="s">
        <v>275</v>
      </c>
      <c r="M60" s="99" t="s">
        <v>530</v>
      </c>
      <c r="N60" s="99"/>
      <c r="O60" s="99">
        <v>202201176</v>
      </c>
      <c r="P60" s="165">
        <v>401365190</v>
      </c>
      <c r="Q60" s="99" t="s">
        <v>146</v>
      </c>
      <c r="R60" s="99" t="s">
        <v>146</v>
      </c>
      <c r="S60" s="111"/>
      <c r="T60" s="111" t="s">
        <v>43</v>
      </c>
      <c r="U60" s="96" t="s">
        <v>401</v>
      </c>
      <c r="V60" s="97">
        <v>44580</v>
      </c>
      <c r="W60" s="166"/>
      <c r="X60" s="166"/>
      <c r="Y60" s="99"/>
      <c r="Z60" s="96" t="s">
        <v>168</v>
      </c>
      <c r="AA60" s="99" t="s">
        <v>169</v>
      </c>
      <c r="AB60" s="96" t="s">
        <v>531</v>
      </c>
      <c r="AC60" s="96"/>
      <c r="AD60" s="97">
        <v>44600</v>
      </c>
      <c r="AE60" s="362" t="s">
        <v>4431</v>
      </c>
      <c r="AF60" s="98"/>
      <c r="AG60" s="166">
        <f t="shared" si="26"/>
        <v>25</v>
      </c>
      <c r="AH60" s="166">
        <f t="shared" si="27"/>
        <v>20</v>
      </c>
      <c r="AI60" s="99" t="s">
        <v>258</v>
      </c>
      <c r="AJ60" s="96" t="s">
        <v>171</v>
      </c>
      <c r="AK60" s="99" t="s">
        <v>1045</v>
      </c>
      <c r="AL60" s="97">
        <v>44589</v>
      </c>
      <c r="AM60" s="214">
        <v>376651270</v>
      </c>
      <c r="AN60" s="96" t="s">
        <v>1046</v>
      </c>
      <c r="AO60" s="96"/>
      <c r="AP60" s="181">
        <f t="shared" si="22"/>
        <v>24292134</v>
      </c>
      <c r="AQ60" s="138"/>
      <c r="AR60" s="138"/>
      <c r="AS60" s="99" t="s">
        <v>146</v>
      </c>
      <c r="AT60" s="99" t="s">
        <v>146</v>
      </c>
      <c r="AU60" s="138"/>
      <c r="AV60" s="99" t="s">
        <v>174</v>
      </c>
      <c r="AW60" s="99" t="s">
        <v>175</v>
      </c>
      <c r="AX60" s="99"/>
      <c r="AY60" s="167">
        <f t="shared" si="24"/>
        <v>6.0587438919434126E-2</v>
      </c>
      <c r="AZ60" s="139">
        <f t="shared" si="13"/>
        <v>0</v>
      </c>
      <c r="BA60" s="139">
        <f t="shared" si="25"/>
        <v>1</v>
      </c>
      <c r="BB60" s="132">
        <f>IF(AA60="CONTRATADO",IF(BA60=1,NETWORKDAYS.INTL(E60,AD60,1,[1]FESTIVOS!$B$3:$B$10)-1,AD60-E60))-BD60</f>
        <v>17</v>
      </c>
      <c r="BC60" s="157"/>
      <c r="BD60" s="162">
        <v>0</v>
      </c>
      <c r="BE60" s="382" t="s">
        <v>2052</v>
      </c>
    </row>
    <row r="61" spans="2:57" ht="43.9" customHeight="1" x14ac:dyDescent="0.25">
      <c r="B61" s="100">
        <f t="shared" si="12"/>
        <v>43</v>
      </c>
      <c r="C61" s="110" t="s">
        <v>532</v>
      </c>
      <c r="D61" s="99" t="s">
        <v>32</v>
      </c>
      <c r="E61" s="140">
        <v>44578</v>
      </c>
      <c r="F61" s="268" t="s">
        <v>4431</v>
      </c>
      <c r="G61" s="99" t="s">
        <v>533</v>
      </c>
      <c r="H61" s="99" t="s">
        <v>534</v>
      </c>
      <c r="I61" s="99" t="s">
        <v>146</v>
      </c>
      <c r="J61" s="133" t="s">
        <v>535</v>
      </c>
      <c r="K61" s="341">
        <v>338606884</v>
      </c>
      <c r="L61" s="96" t="s">
        <v>298</v>
      </c>
      <c r="M61" s="99" t="s">
        <v>536</v>
      </c>
      <c r="N61" s="99"/>
      <c r="O61" s="99">
        <v>202201685</v>
      </c>
      <c r="P61" s="165">
        <v>394128000</v>
      </c>
      <c r="Q61" s="111" t="s">
        <v>146</v>
      </c>
      <c r="R61" s="111" t="s">
        <v>146</v>
      </c>
      <c r="S61" s="111"/>
      <c r="T61" s="111" t="s">
        <v>43</v>
      </c>
      <c r="U61" s="96" t="s">
        <v>277</v>
      </c>
      <c r="V61" s="97">
        <v>44582</v>
      </c>
      <c r="W61" s="166"/>
      <c r="X61" s="166"/>
      <c r="Y61" s="99"/>
      <c r="Z61" s="96" t="s">
        <v>168</v>
      </c>
      <c r="AA61" s="99" t="s">
        <v>169</v>
      </c>
      <c r="AB61" s="96" t="s">
        <v>537</v>
      </c>
      <c r="AC61" s="96"/>
      <c r="AD61" s="97">
        <v>44600</v>
      </c>
      <c r="AE61" s="362" t="s">
        <v>4431</v>
      </c>
      <c r="AF61" s="98"/>
      <c r="AG61" s="166">
        <f t="shared" si="26"/>
        <v>22</v>
      </c>
      <c r="AH61" s="166">
        <f t="shared" si="27"/>
        <v>18</v>
      </c>
      <c r="AI61" s="99" t="s">
        <v>258</v>
      </c>
      <c r="AJ61" s="96" t="s">
        <v>171</v>
      </c>
      <c r="AK61" s="99" t="s">
        <v>1047</v>
      </c>
      <c r="AL61" s="99"/>
      <c r="AM61" s="214">
        <v>335122981</v>
      </c>
      <c r="AN61" s="96" t="s">
        <v>1048</v>
      </c>
      <c r="AO61" s="96"/>
      <c r="AP61" s="181">
        <f t="shared" si="22"/>
        <v>3483903</v>
      </c>
      <c r="AQ61" s="138"/>
      <c r="AR61" s="138"/>
      <c r="AS61" s="99" t="s">
        <v>538</v>
      </c>
      <c r="AT61" s="97">
        <v>44568</v>
      </c>
      <c r="AU61" s="138"/>
      <c r="AV61" s="99"/>
      <c r="AW61" s="99"/>
      <c r="AX61" s="99"/>
      <c r="AY61" s="167">
        <f t="shared" si="24"/>
        <v>1.0288931396917495E-2</v>
      </c>
      <c r="AZ61" s="139">
        <f t="shared" si="13"/>
        <v>1</v>
      </c>
      <c r="BA61" s="139">
        <f t="shared" si="25"/>
        <v>1</v>
      </c>
      <c r="BB61" s="132">
        <f>IF(AA61="CONTRATADO",IF(BA61=1,NETWORKDAYS.INTL(E61,AD61,1,[1]FESTIVOS!$B$3:$B$10)-1,AD61-E61))-BD61</f>
        <v>16</v>
      </c>
      <c r="BC61" s="157"/>
      <c r="BD61" s="162">
        <v>0</v>
      </c>
      <c r="BE61" s="382" t="s">
        <v>2052</v>
      </c>
    </row>
    <row r="62" spans="2:57" ht="43.9" customHeight="1" x14ac:dyDescent="0.25">
      <c r="B62" s="100">
        <f t="shared" si="12"/>
        <v>44</v>
      </c>
      <c r="C62" s="293" t="s">
        <v>539</v>
      </c>
      <c r="D62" s="265" t="s">
        <v>332</v>
      </c>
      <c r="E62" s="272">
        <v>44579</v>
      </c>
      <c r="F62" s="268" t="s">
        <v>4431</v>
      </c>
      <c r="G62" s="269" t="s">
        <v>540</v>
      </c>
      <c r="H62" s="265" t="s">
        <v>541</v>
      </c>
      <c r="I62" s="265" t="s">
        <v>146</v>
      </c>
      <c r="J62" s="269" t="s">
        <v>542</v>
      </c>
      <c r="K62" s="342">
        <v>199992024</v>
      </c>
      <c r="L62" s="282" t="s">
        <v>363</v>
      </c>
      <c r="M62" s="265" t="s">
        <v>543</v>
      </c>
      <c r="N62" s="302" t="str">
        <f>MID(M62,5,3)</f>
        <v>IP-</v>
      </c>
      <c r="O62" s="265">
        <v>202201122</v>
      </c>
      <c r="P62" s="271">
        <v>200571511</v>
      </c>
      <c r="Q62" s="265" t="s">
        <v>146</v>
      </c>
      <c r="R62" s="265" t="s">
        <v>146</v>
      </c>
      <c r="S62" s="312" t="s">
        <v>146</v>
      </c>
      <c r="T62" s="111" t="s">
        <v>43</v>
      </c>
      <c r="U62" s="269" t="s">
        <v>364</v>
      </c>
      <c r="V62" s="285">
        <v>44581</v>
      </c>
      <c r="W62" s="303" t="e">
        <f>+$D$4-E62</f>
        <v>#VALUE!</v>
      </c>
      <c r="X62" s="303" t="e">
        <f>$D$4-V62</f>
        <v>#VALUE!</v>
      </c>
      <c r="Y62" s="265" t="s">
        <v>1300</v>
      </c>
      <c r="Z62" s="265" t="s">
        <v>214</v>
      </c>
      <c r="AA62" s="265" t="s">
        <v>215</v>
      </c>
      <c r="AB62" s="265"/>
      <c r="AC62" s="304" t="s">
        <v>544</v>
      </c>
      <c r="AD62" s="285">
        <v>44588</v>
      </c>
      <c r="AE62" s="285"/>
      <c r="AF62" s="305" t="str">
        <f>+IF(AD62="","",TEXT(AD62,"mmm"))</f>
        <v>ene</v>
      </c>
      <c r="AG62" s="306">
        <f t="shared" si="26"/>
        <v>9</v>
      </c>
      <c r="AH62" s="307">
        <f t="shared" si="27"/>
        <v>7</v>
      </c>
      <c r="AI62" s="265" t="s">
        <v>258</v>
      </c>
      <c r="AJ62" s="265" t="s">
        <v>171</v>
      </c>
      <c r="AK62" s="277"/>
      <c r="AL62" s="277"/>
      <c r="AM62" s="309"/>
      <c r="AN62" s="269"/>
      <c r="AO62" s="277"/>
      <c r="AP62" s="309">
        <f t="shared" si="22"/>
        <v>199992024</v>
      </c>
      <c r="AQ62" s="289"/>
      <c r="AR62" s="289"/>
      <c r="AS62" s="277"/>
      <c r="AT62" s="260"/>
      <c r="AU62" s="260"/>
      <c r="AV62" s="200"/>
      <c r="AW62" s="200"/>
      <c r="AX62" s="200"/>
      <c r="AY62" s="200"/>
      <c r="AZ62" s="139">
        <f t="shared" si="13"/>
        <v>0</v>
      </c>
      <c r="BA62" s="200"/>
      <c r="BB62" s="203"/>
      <c r="BC62" s="95"/>
      <c r="BD62" s="200"/>
      <c r="BE62" s="200"/>
    </row>
    <row r="63" spans="2:57" ht="43.9" customHeight="1" x14ac:dyDescent="0.25">
      <c r="B63" s="100">
        <f t="shared" si="12"/>
        <v>45</v>
      </c>
      <c r="C63" s="110" t="s">
        <v>545</v>
      </c>
      <c r="D63" s="99" t="s">
        <v>32</v>
      </c>
      <c r="E63" s="140">
        <v>44579</v>
      </c>
      <c r="F63" s="268" t="s">
        <v>4431</v>
      </c>
      <c r="G63" s="96" t="s">
        <v>546</v>
      </c>
      <c r="H63" s="96" t="s">
        <v>547</v>
      </c>
      <c r="I63" s="99" t="s">
        <v>146</v>
      </c>
      <c r="J63" s="133" t="s">
        <v>548</v>
      </c>
      <c r="K63" s="341">
        <v>25456563</v>
      </c>
      <c r="L63" s="96" t="s">
        <v>549</v>
      </c>
      <c r="M63" s="99" t="s">
        <v>550</v>
      </c>
      <c r="N63" s="99"/>
      <c r="O63" s="99">
        <v>202201714</v>
      </c>
      <c r="P63" s="165">
        <v>25456563</v>
      </c>
      <c r="Q63" s="99" t="s">
        <v>146</v>
      </c>
      <c r="R63" s="99" t="s">
        <v>146</v>
      </c>
      <c r="S63" s="111"/>
      <c r="T63" s="111" t="s">
        <v>43</v>
      </c>
      <c r="U63" s="96" t="s">
        <v>551</v>
      </c>
      <c r="V63" s="97">
        <v>44581</v>
      </c>
      <c r="W63" s="166"/>
      <c r="X63" s="166"/>
      <c r="Y63" s="99"/>
      <c r="Z63" s="96" t="s">
        <v>168</v>
      </c>
      <c r="AA63" s="99" t="s">
        <v>169</v>
      </c>
      <c r="AB63" s="96" t="s">
        <v>552</v>
      </c>
      <c r="AC63" s="96"/>
      <c r="AD63" s="97">
        <v>44606</v>
      </c>
      <c r="AE63" s="362" t="s">
        <v>4431</v>
      </c>
      <c r="AF63" s="98"/>
      <c r="AG63" s="166">
        <f t="shared" si="26"/>
        <v>27</v>
      </c>
      <c r="AH63" s="166">
        <f t="shared" si="27"/>
        <v>25</v>
      </c>
      <c r="AI63" s="99" t="s">
        <v>258</v>
      </c>
      <c r="AJ63" s="96" t="s">
        <v>171</v>
      </c>
      <c r="AK63" s="99" t="s">
        <v>1049</v>
      </c>
      <c r="AL63" s="97">
        <v>44589</v>
      </c>
      <c r="AM63" s="214">
        <v>25456563</v>
      </c>
      <c r="AN63" s="96" t="s">
        <v>1050</v>
      </c>
      <c r="AO63" s="96"/>
      <c r="AP63" s="181">
        <f t="shared" si="22"/>
        <v>0</v>
      </c>
      <c r="AQ63" s="138"/>
      <c r="AR63" s="138"/>
      <c r="AS63" s="99" t="s">
        <v>553</v>
      </c>
      <c r="AT63" s="97">
        <v>44574</v>
      </c>
      <c r="AU63" s="138"/>
      <c r="AV63" s="99" t="s">
        <v>1000</v>
      </c>
      <c r="AW63" s="99" t="s">
        <v>692</v>
      </c>
      <c r="AX63" s="99"/>
      <c r="AY63" s="167">
        <f t="shared" ref="AY63:AY68" si="28">+AP63/K63</f>
        <v>0</v>
      </c>
      <c r="AZ63" s="139">
        <f t="shared" si="13"/>
        <v>1</v>
      </c>
      <c r="BA63" s="139">
        <f t="shared" ref="BA63:BA68" si="29">IF(T63="Invitación Privada",1,IF(T63="Invitación Pública",2,0))</f>
        <v>1</v>
      </c>
      <c r="BB63" s="132">
        <f>IF(AA63="CONTRATADO",IF(BA63=1,NETWORKDAYS.INTL(E63,AD63,1,[1]FESTIVOS!$B$3:$B$10)-1,AD63-E63))-BD63</f>
        <v>19</v>
      </c>
      <c r="BC63" s="157"/>
      <c r="BD63" s="162">
        <v>0</v>
      </c>
      <c r="BE63" s="382" t="s">
        <v>2052</v>
      </c>
    </row>
    <row r="64" spans="2:57" ht="43.9" customHeight="1" x14ac:dyDescent="0.25">
      <c r="B64" s="100">
        <f t="shared" si="12"/>
        <v>46</v>
      </c>
      <c r="C64" s="110" t="s">
        <v>554</v>
      </c>
      <c r="D64" s="99" t="s">
        <v>32</v>
      </c>
      <c r="E64" s="140">
        <v>44579</v>
      </c>
      <c r="F64" s="268" t="s">
        <v>4431</v>
      </c>
      <c r="G64" s="96" t="s">
        <v>555</v>
      </c>
      <c r="H64" s="96" t="s">
        <v>556</v>
      </c>
      <c r="I64" s="99" t="s">
        <v>146</v>
      </c>
      <c r="J64" s="133" t="s">
        <v>557</v>
      </c>
      <c r="K64" s="341">
        <v>157107757</v>
      </c>
      <c r="L64" s="96" t="s">
        <v>549</v>
      </c>
      <c r="M64" s="99" t="s">
        <v>558</v>
      </c>
      <c r="N64" s="99"/>
      <c r="O64" s="99">
        <v>202201142</v>
      </c>
      <c r="P64" s="165">
        <v>309427468</v>
      </c>
      <c r="Q64" s="111" t="s">
        <v>146</v>
      </c>
      <c r="R64" s="111" t="s">
        <v>146</v>
      </c>
      <c r="S64" s="111"/>
      <c r="T64" s="111" t="s">
        <v>43</v>
      </c>
      <c r="U64" s="96" t="s">
        <v>277</v>
      </c>
      <c r="V64" s="97">
        <v>44582</v>
      </c>
      <c r="W64" s="166"/>
      <c r="X64" s="166"/>
      <c r="Y64" s="99"/>
      <c r="Z64" s="96" t="s">
        <v>168</v>
      </c>
      <c r="AA64" s="99" t="s">
        <v>169</v>
      </c>
      <c r="AB64" s="96" t="s">
        <v>559</v>
      </c>
      <c r="AC64" s="96"/>
      <c r="AD64" s="97">
        <v>44603</v>
      </c>
      <c r="AE64" s="362" t="s">
        <v>4431</v>
      </c>
      <c r="AF64" s="98"/>
      <c r="AG64" s="166">
        <f t="shared" si="26"/>
        <v>24</v>
      </c>
      <c r="AH64" s="166">
        <f t="shared" si="27"/>
        <v>21</v>
      </c>
      <c r="AI64" s="99" t="s">
        <v>258</v>
      </c>
      <c r="AJ64" s="96" t="s">
        <v>155</v>
      </c>
      <c r="AK64" s="99" t="s">
        <v>1051</v>
      </c>
      <c r="AL64" s="97">
        <v>44589</v>
      </c>
      <c r="AM64" s="214">
        <v>157107757</v>
      </c>
      <c r="AN64" s="96" t="s">
        <v>1052</v>
      </c>
      <c r="AO64" s="96"/>
      <c r="AP64" s="181">
        <f t="shared" si="22"/>
        <v>0</v>
      </c>
      <c r="AQ64" s="138"/>
      <c r="AR64" s="138"/>
      <c r="AS64" s="99" t="s">
        <v>1119</v>
      </c>
      <c r="AT64" s="97">
        <v>44560</v>
      </c>
      <c r="AU64" s="138"/>
      <c r="AV64" s="99" t="s">
        <v>1121</v>
      </c>
      <c r="AW64" s="99" t="s">
        <v>692</v>
      </c>
      <c r="AX64" s="99"/>
      <c r="AY64" s="167">
        <f t="shared" si="28"/>
        <v>0</v>
      </c>
      <c r="AZ64" s="139">
        <f t="shared" si="13"/>
        <v>1</v>
      </c>
      <c r="BA64" s="139">
        <f t="shared" si="29"/>
        <v>1</v>
      </c>
      <c r="BB64" s="132">
        <f>IF(AA64="CONTRATADO",IF(BA64=1,NETWORKDAYS.INTL(E64,AD64,1,[1]FESTIVOS!$B$3:$B$10)-1,AD64-E64))-BD64</f>
        <v>18</v>
      </c>
      <c r="BC64" s="157"/>
      <c r="BD64" s="162">
        <v>0</v>
      </c>
      <c r="BE64" s="382" t="s">
        <v>2052</v>
      </c>
    </row>
    <row r="65" spans="2:58" ht="43.9" customHeight="1" x14ac:dyDescent="0.25">
      <c r="B65" s="100">
        <f t="shared" si="12"/>
        <v>47</v>
      </c>
      <c r="C65" s="110" t="s">
        <v>560</v>
      </c>
      <c r="D65" s="99" t="s">
        <v>32</v>
      </c>
      <c r="E65" s="140">
        <v>44579</v>
      </c>
      <c r="F65" s="268" t="s">
        <v>4431</v>
      </c>
      <c r="G65" s="96" t="s">
        <v>561</v>
      </c>
      <c r="H65" s="96" t="s">
        <v>562</v>
      </c>
      <c r="I65" s="99" t="s">
        <v>146</v>
      </c>
      <c r="J65" s="133" t="s">
        <v>563</v>
      </c>
      <c r="K65" s="341">
        <v>398453055</v>
      </c>
      <c r="L65" s="96" t="s">
        <v>549</v>
      </c>
      <c r="M65" s="99" t="s">
        <v>564</v>
      </c>
      <c r="N65" s="99"/>
      <c r="O65" s="99">
        <v>202201141</v>
      </c>
      <c r="P65" s="165">
        <v>398453055</v>
      </c>
      <c r="Q65" s="111" t="s">
        <v>146</v>
      </c>
      <c r="R65" s="111" t="s">
        <v>146</v>
      </c>
      <c r="S65" s="111"/>
      <c r="T65" s="111" t="s">
        <v>43</v>
      </c>
      <c r="U65" s="96" t="s">
        <v>277</v>
      </c>
      <c r="V65" s="97">
        <v>44582</v>
      </c>
      <c r="W65" s="166"/>
      <c r="X65" s="166"/>
      <c r="Y65" s="99"/>
      <c r="Z65" s="96" t="s">
        <v>168</v>
      </c>
      <c r="AA65" s="99" t="s">
        <v>169</v>
      </c>
      <c r="AB65" s="96" t="s">
        <v>565</v>
      </c>
      <c r="AC65" s="96"/>
      <c r="AD65" s="97">
        <v>44599</v>
      </c>
      <c r="AE65" s="362" t="s">
        <v>4431</v>
      </c>
      <c r="AF65" s="98"/>
      <c r="AG65" s="166">
        <f t="shared" si="26"/>
        <v>20</v>
      </c>
      <c r="AH65" s="166">
        <f t="shared" si="27"/>
        <v>17</v>
      </c>
      <c r="AI65" s="99" t="s">
        <v>258</v>
      </c>
      <c r="AJ65" s="96" t="s">
        <v>171</v>
      </c>
      <c r="AK65" s="99" t="s">
        <v>1053</v>
      </c>
      <c r="AL65" s="97">
        <v>44588</v>
      </c>
      <c r="AM65" s="214">
        <v>398453055</v>
      </c>
      <c r="AN65" s="96" t="s">
        <v>1054</v>
      </c>
      <c r="AO65" s="96"/>
      <c r="AP65" s="181">
        <f t="shared" si="22"/>
        <v>0</v>
      </c>
      <c r="AQ65" s="138"/>
      <c r="AR65" s="138"/>
      <c r="AS65" s="99" t="s">
        <v>1120</v>
      </c>
      <c r="AT65" s="97">
        <v>44566</v>
      </c>
      <c r="AU65" s="138"/>
      <c r="AV65" s="99" t="s">
        <v>1122</v>
      </c>
      <c r="AW65" s="99" t="s">
        <v>1002</v>
      </c>
      <c r="AX65" s="99"/>
      <c r="AY65" s="167">
        <f t="shared" si="28"/>
        <v>0</v>
      </c>
      <c r="AZ65" s="139">
        <f t="shared" si="13"/>
        <v>1</v>
      </c>
      <c r="BA65" s="139">
        <f t="shared" si="29"/>
        <v>1</v>
      </c>
      <c r="BB65" s="132">
        <f>IF(AA65="CONTRATADO",IF(BA65=1,NETWORKDAYS.INTL(E65,AD65,1,[1]FESTIVOS!$B$3:$B$10)-1,AD65-E65))-BD65</f>
        <v>14</v>
      </c>
      <c r="BC65" s="157"/>
      <c r="BD65" s="162">
        <v>0</v>
      </c>
      <c r="BE65" s="382" t="s">
        <v>2052</v>
      </c>
    </row>
    <row r="66" spans="2:58" ht="43.9" customHeight="1" x14ac:dyDescent="0.25">
      <c r="B66" s="100">
        <f t="shared" si="12"/>
        <v>48</v>
      </c>
      <c r="C66" s="110" t="s">
        <v>566</v>
      </c>
      <c r="D66" s="99" t="s">
        <v>32</v>
      </c>
      <c r="E66" s="140">
        <v>44579</v>
      </c>
      <c r="F66" s="268" t="s">
        <v>4431</v>
      </c>
      <c r="G66" s="96" t="s">
        <v>567</v>
      </c>
      <c r="H66" s="96" t="s">
        <v>568</v>
      </c>
      <c r="I66" s="99" t="s">
        <v>146</v>
      </c>
      <c r="J66" s="133" t="s">
        <v>569</v>
      </c>
      <c r="K66" s="341">
        <v>3001775</v>
      </c>
      <c r="L66" s="96" t="s">
        <v>570</v>
      </c>
      <c r="M66" s="99" t="s">
        <v>571</v>
      </c>
      <c r="N66" s="99"/>
      <c r="O66" s="99">
        <v>202201402</v>
      </c>
      <c r="P66" s="165">
        <v>3001775</v>
      </c>
      <c r="Q66" s="99" t="s">
        <v>146</v>
      </c>
      <c r="R66" s="99" t="s">
        <v>146</v>
      </c>
      <c r="S66" s="111"/>
      <c r="T66" s="111" t="s">
        <v>43</v>
      </c>
      <c r="U66" s="96" t="s">
        <v>572</v>
      </c>
      <c r="V66" s="97">
        <v>44581</v>
      </c>
      <c r="W66" s="166"/>
      <c r="X66" s="166"/>
      <c r="Y66" s="99"/>
      <c r="Z66" s="96" t="s">
        <v>168</v>
      </c>
      <c r="AA66" s="99" t="s">
        <v>169</v>
      </c>
      <c r="AB66" s="96" t="s">
        <v>573</v>
      </c>
      <c r="AC66" s="96"/>
      <c r="AD66" s="97">
        <v>44601</v>
      </c>
      <c r="AE66" s="362" t="s">
        <v>4431</v>
      </c>
      <c r="AF66" s="98"/>
      <c r="AG66" s="166">
        <f t="shared" si="26"/>
        <v>22</v>
      </c>
      <c r="AH66" s="166">
        <f t="shared" si="27"/>
        <v>20</v>
      </c>
      <c r="AI66" s="99" t="s">
        <v>258</v>
      </c>
      <c r="AJ66" s="96" t="s">
        <v>171</v>
      </c>
      <c r="AK66" s="99" t="s">
        <v>1055</v>
      </c>
      <c r="AL66" s="97">
        <v>44589</v>
      </c>
      <c r="AM66" s="214">
        <v>3001775</v>
      </c>
      <c r="AN66" s="96" t="s">
        <v>1056</v>
      </c>
      <c r="AO66" s="96"/>
      <c r="AP66" s="181">
        <f t="shared" si="22"/>
        <v>0</v>
      </c>
      <c r="AQ66" s="138"/>
      <c r="AR66" s="138"/>
      <c r="AS66" s="99" t="s">
        <v>146</v>
      </c>
      <c r="AT66" s="99" t="s">
        <v>146</v>
      </c>
      <c r="AU66" s="138"/>
      <c r="AV66" s="99" t="s">
        <v>1000</v>
      </c>
      <c r="AW66" s="99" t="s">
        <v>692</v>
      </c>
      <c r="AX66" s="99"/>
      <c r="AY66" s="167">
        <f t="shared" si="28"/>
        <v>0</v>
      </c>
      <c r="AZ66" s="139">
        <f t="shared" si="13"/>
        <v>1</v>
      </c>
      <c r="BA66" s="139">
        <f t="shared" si="29"/>
        <v>1</v>
      </c>
      <c r="BB66" s="132">
        <f>IF(AA66="CONTRATADO",IF(BA66=1,NETWORKDAYS.INTL(E66,AD66,1,[1]FESTIVOS!$B$3:$B$10)-1,AD66-E66))-BD66</f>
        <v>16</v>
      </c>
      <c r="BC66" s="157"/>
      <c r="BD66" s="162">
        <v>0</v>
      </c>
      <c r="BE66" s="382" t="s">
        <v>2052</v>
      </c>
    </row>
    <row r="67" spans="2:58" ht="43.9" customHeight="1" x14ac:dyDescent="0.25">
      <c r="B67" s="100">
        <f t="shared" si="12"/>
        <v>49</v>
      </c>
      <c r="C67" s="110" t="s">
        <v>574</v>
      </c>
      <c r="D67" s="99" t="s">
        <v>32</v>
      </c>
      <c r="E67" s="140">
        <v>44579</v>
      </c>
      <c r="F67" s="268" t="s">
        <v>4431</v>
      </c>
      <c r="G67" s="96" t="s">
        <v>575</v>
      </c>
      <c r="H67" s="96" t="s">
        <v>576</v>
      </c>
      <c r="I67" s="99" t="s">
        <v>146</v>
      </c>
      <c r="J67" s="133" t="s">
        <v>577</v>
      </c>
      <c r="K67" s="341">
        <v>5584670</v>
      </c>
      <c r="L67" s="96" t="s">
        <v>570</v>
      </c>
      <c r="M67" s="99" t="s">
        <v>578</v>
      </c>
      <c r="N67" s="99"/>
      <c r="O67" s="99">
        <v>202201403</v>
      </c>
      <c r="P67" s="165">
        <v>5584000</v>
      </c>
      <c r="Q67" s="99" t="s">
        <v>146</v>
      </c>
      <c r="R67" s="99" t="s">
        <v>146</v>
      </c>
      <c r="S67" s="111"/>
      <c r="T67" s="111" t="s">
        <v>43</v>
      </c>
      <c r="U67" s="96" t="s">
        <v>572</v>
      </c>
      <c r="V67" s="97">
        <v>44581</v>
      </c>
      <c r="W67" s="166"/>
      <c r="X67" s="166"/>
      <c r="Y67" s="99"/>
      <c r="Z67" s="96" t="s">
        <v>168</v>
      </c>
      <c r="AA67" s="99" t="s">
        <v>169</v>
      </c>
      <c r="AB67" s="96" t="s">
        <v>579</v>
      </c>
      <c r="AC67" s="96"/>
      <c r="AD67" s="97">
        <v>44601</v>
      </c>
      <c r="AE67" s="362" t="s">
        <v>4431</v>
      </c>
      <c r="AF67" s="98"/>
      <c r="AG67" s="166">
        <f t="shared" si="26"/>
        <v>22</v>
      </c>
      <c r="AH67" s="166">
        <f t="shared" si="27"/>
        <v>20</v>
      </c>
      <c r="AI67" s="99" t="s">
        <v>258</v>
      </c>
      <c r="AJ67" s="96" t="s">
        <v>171</v>
      </c>
      <c r="AK67" s="99" t="s">
        <v>1057</v>
      </c>
      <c r="AL67" s="97">
        <v>44588</v>
      </c>
      <c r="AM67" s="214">
        <v>5584670</v>
      </c>
      <c r="AN67" s="96" t="s">
        <v>1058</v>
      </c>
      <c r="AO67" s="96"/>
      <c r="AP67" s="181">
        <f t="shared" si="22"/>
        <v>0</v>
      </c>
      <c r="AQ67" s="138"/>
      <c r="AR67" s="138"/>
      <c r="AS67" s="99" t="s">
        <v>146</v>
      </c>
      <c r="AT67" s="99" t="s">
        <v>146</v>
      </c>
      <c r="AU67" s="138"/>
      <c r="AV67" s="99" t="s">
        <v>174</v>
      </c>
      <c r="AW67" s="99" t="s">
        <v>175</v>
      </c>
      <c r="AX67" s="99"/>
      <c r="AY67" s="167">
        <f t="shared" si="28"/>
        <v>0</v>
      </c>
      <c r="AZ67" s="139">
        <f t="shared" si="13"/>
        <v>1</v>
      </c>
      <c r="BA67" s="139">
        <f t="shared" si="29"/>
        <v>1</v>
      </c>
      <c r="BB67" s="132">
        <f>IF(AA67="CONTRATADO",IF(BA67=1,NETWORKDAYS.INTL(E67,AD67,1,[1]FESTIVOS!$B$3:$B$10)-1,AD67-E67))-BD67</f>
        <v>16</v>
      </c>
      <c r="BC67" s="157"/>
      <c r="BD67" s="162">
        <v>0</v>
      </c>
      <c r="BE67" s="382" t="s">
        <v>2052</v>
      </c>
      <c r="BF67" s="160"/>
    </row>
    <row r="68" spans="2:58" ht="43.9" customHeight="1" x14ac:dyDescent="0.25">
      <c r="B68" s="100">
        <f t="shared" si="12"/>
        <v>50</v>
      </c>
      <c r="C68" s="110" t="s">
        <v>580</v>
      </c>
      <c r="D68" s="99" t="s">
        <v>32</v>
      </c>
      <c r="E68" s="140">
        <v>44579</v>
      </c>
      <c r="F68" s="268" t="s">
        <v>4431</v>
      </c>
      <c r="G68" s="96" t="s">
        <v>581</v>
      </c>
      <c r="H68" s="96" t="s">
        <v>582</v>
      </c>
      <c r="I68" s="99" t="s">
        <v>146</v>
      </c>
      <c r="J68" s="133" t="s">
        <v>583</v>
      </c>
      <c r="K68" s="341">
        <v>13119750</v>
      </c>
      <c r="L68" s="96" t="s">
        <v>298</v>
      </c>
      <c r="M68" s="99" t="s">
        <v>584</v>
      </c>
      <c r="N68" s="99"/>
      <c r="O68" s="99">
        <v>202201682</v>
      </c>
      <c r="P68" s="165">
        <v>13119750</v>
      </c>
      <c r="Q68" s="99" t="s">
        <v>146</v>
      </c>
      <c r="R68" s="99" t="s">
        <v>146</v>
      </c>
      <c r="S68" s="111"/>
      <c r="T68" s="111" t="s">
        <v>43</v>
      </c>
      <c r="U68" s="96" t="s">
        <v>572</v>
      </c>
      <c r="V68" s="97">
        <v>44581</v>
      </c>
      <c r="W68" s="166"/>
      <c r="X68" s="166"/>
      <c r="Y68" s="99"/>
      <c r="Z68" s="96" t="s">
        <v>168</v>
      </c>
      <c r="AA68" s="99" t="s">
        <v>169</v>
      </c>
      <c r="AB68" s="96" t="s">
        <v>585</v>
      </c>
      <c r="AC68" s="96"/>
      <c r="AD68" s="97">
        <v>44600</v>
      </c>
      <c r="AE68" s="362" t="s">
        <v>4431</v>
      </c>
      <c r="AF68" s="98"/>
      <c r="AG68" s="166">
        <f t="shared" si="26"/>
        <v>21</v>
      </c>
      <c r="AH68" s="166">
        <f t="shared" si="27"/>
        <v>19</v>
      </c>
      <c r="AI68" s="99" t="s">
        <v>258</v>
      </c>
      <c r="AJ68" s="96" t="s">
        <v>171</v>
      </c>
      <c r="AK68" s="99" t="s">
        <v>824</v>
      </c>
      <c r="AL68" s="97">
        <v>44588</v>
      </c>
      <c r="AM68" s="214">
        <v>13119750</v>
      </c>
      <c r="AN68" s="96" t="s">
        <v>1059</v>
      </c>
      <c r="AO68" s="96"/>
      <c r="AP68" s="181">
        <f t="shared" si="22"/>
        <v>0</v>
      </c>
      <c r="AQ68" s="138"/>
      <c r="AR68" s="138"/>
      <c r="AS68" s="99" t="s">
        <v>146</v>
      </c>
      <c r="AT68" s="99" t="s">
        <v>146</v>
      </c>
      <c r="AU68" s="138"/>
      <c r="AV68" s="99" t="s">
        <v>1000</v>
      </c>
      <c r="AW68" s="99" t="s">
        <v>692</v>
      </c>
      <c r="AX68" s="99"/>
      <c r="AY68" s="167">
        <f t="shared" si="28"/>
        <v>0</v>
      </c>
      <c r="AZ68" s="139">
        <f t="shared" si="13"/>
        <v>1</v>
      </c>
      <c r="BA68" s="139">
        <f t="shared" si="29"/>
        <v>1</v>
      </c>
      <c r="BB68" s="132">
        <f>IF(AA68="CONTRATADO",IF(BA68=1,NETWORKDAYS.INTL(E68,AD68,1,[1]FESTIVOS!$B$3:$B$10)-1,AD68-E68))-BD68</f>
        <v>15</v>
      </c>
      <c r="BC68" s="157"/>
      <c r="BD68" s="162">
        <v>0</v>
      </c>
      <c r="BE68" s="382" t="s">
        <v>2052</v>
      </c>
      <c r="BF68" s="160"/>
    </row>
    <row r="69" spans="2:58" ht="43.9" customHeight="1" x14ac:dyDescent="0.25">
      <c r="B69" s="100">
        <f t="shared" si="12"/>
        <v>51</v>
      </c>
      <c r="C69" s="293" t="s">
        <v>586</v>
      </c>
      <c r="D69" s="312" t="s">
        <v>32</v>
      </c>
      <c r="E69" s="272">
        <v>44579</v>
      </c>
      <c r="F69" s="268" t="s">
        <v>4431</v>
      </c>
      <c r="G69" s="269" t="s">
        <v>587</v>
      </c>
      <c r="H69" s="265" t="s">
        <v>588</v>
      </c>
      <c r="I69" s="265" t="s">
        <v>146</v>
      </c>
      <c r="J69" s="269" t="s">
        <v>589</v>
      </c>
      <c r="K69" s="342">
        <v>40712800</v>
      </c>
      <c r="L69" s="282" t="s">
        <v>570</v>
      </c>
      <c r="M69" s="265" t="s">
        <v>590</v>
      </c>
      <c r="N69" s="302" t="str">
        <f>MID(M69,5,3)</f>
        <v>IP-</v>
      </c>
      <c r="O69" s="265">
        <v>202201683</v>
      </c>
      <c r="P69" s="271">
        <v>40721800</v>
      </c>
      <c r="Q69" s="265" t="s">
        <v>146</v>
      </c>
      <c r="R69" s="265" t="s">
        <v>146</v>
      </c>
      <c r="S69" s="312" t="s">
        <v>146</v>
      </c>
      <c r="T69" s="111" t="s">
        <v>43</v>
      </c>
      <c r="U69" s="269" t="s">
        <v>551</v>
      </c>
      <c r="V69" s="285">
        <v>44581</v>
      </c>
      <c r="W69" s="303" t="e">
        <f>+$D$4-E69</f>
        <v>#VALUE!</v>
      </c>
      <c r="X69" s="303" t="e">
        <f>$D$4-V69</f>
        <v>#VALUE!</v>
      </c>
      <c r="Y69" s="265" t="s">
        <v>1300</v>
      </c>
      <c r="Z69" s="265" t="s">
        <v>214</v>
      </c>
      <c r="AA69" s="265" t="s">
        <v>215</v>
      </c>
      <c r="AB69" s="265"/>
      <c r="AC69" s="304" t="s">
        <v>591</v>
      </c>
      <c r="AD69" s="272">
        <v>44589</v>
      </c>
      <c r="AE69" s="265"/>
      <c r="AF69" s="305" t="str">
        <f>+IF(AD69="","",TEXT(AD69,"mmm"))</f>
        <v>ene</v>
      </c>
      <c r="AG69" s="306">
        <f t="shared" si="26"/>
        <v>10</v>
      </c>
      <c r="AH69" s="307">
        <f t="shared" si="27"/>
        <v>8</v>
      </c>
      <c r="AI69" s="265" t="s">
        <v>258</v>
      </c>
      <c r="AJ69" s="265" t="s">
        <v>171</v>
      </c>
      <c r="AK69" s="277"/>
      <c r="AL69" s="277"/>
      <c r="AM69" s="309"/>
      <c r="AN69" s="269"/>
      <c r="AO69" s="277"/>
      <c r="AP69" s="309">
        <f t="shared" ref="AP69:AP100" si="30">+K69-AM69</f>
        <v>40712800</v>
      </c>
      <c r="AQ69" s="289"/>
      <c r="AR69" s="289"/>
      <c r="AS69" s="277"/>
      <c r="AT69" s="260"/>
      <c r="AU69" s="260"/>
      <c r="AV69" s="200"/>
      <c r="AW69" s="200"/>
      <c r="AX69" s="200"/>
      <c r="AY69" s="200"/>
      <c r="AZ69" s="139">
        <f t="shared" si="13"/>
        <v>1</v>
      </c>
      <c r="BA69" s="200"/>
      <c r="BB69" s="203"/>
      <c r="BC69" s="95"/>
      <c r="BD69" s="2"/>
      <c r="BE69" s="2"/>
      <c r="BF69" s="160"/>
    </row>
    <row r="70" spans="2:58" ht="43.9" customHeight="1" x14ac:dyDescent="0.25">
      <c r="B70" s="100">
        <f t="shared" si="12"/>
        <v>52</v>
      </c>
      <c r="C70" s="293" t="s">
        <v>592</v>
      </c>
      <c r="D70" s="312" t="s">
        <v>32</v>
      </c>
      <c r="E70" s="272">
        <v>44579</v>
      </c>
      <c r="F70" s="268" t="s">
        <v>4431</v>
      </c>
      <c r="G70" s="269" t="s">
        <v>593</v>
      </c>
      <c r="H70" s="265" t="s">
        <v>594</v>
      </c>
      <c r="I70" s="265" t="s">
        <v>146</v>
      </c>
      <c r="J70" s="269" t="s">
        <v>595</v>
      </c>
      <c r="K70" s="342">
        <v>62492850</v>
      </c>
      <c r="L70" s="282" t="s">
        <v>549</v>
      </c>
      <c r="M70" s="265" t="s">
        <v>596</v>
      </c>
      <c r="N70" s="302" t="str">
        <f>MID(M70,5,3)</f>
        <v>IP-</v>
      </c>
      <c r="O70" s="265">
        <v>202201684</v>
      </c>
      <c r="P70" s="271">
        <v>62492850</v>
      </c>
      <c r="Q70" s="265" t="s">
        <v>146</v>
      </c>
      <c r="R70" s="265" t="s">
        <v>146</v>
      </c>
      <c r="S70" s="312" t="s">
        <v>146</v>
      </c>
      <c r="T70" s="111" t="s">
        <v>43</v>
      </c>
      <c r="U70" s="269" t="s">
        <v>551</v>
      </c>
      <c r="V70" s="285">
        <v>44581</v>
      </c>
      <c r="W70" s="303" t="e">
        <f>+$D$4-E70</f>
        <v>#VALUE!</v>
      </c>
      <c r="X70" s="303" t="e">
        <f>$D$4-V70</f>
        <v>#VALUE!</v>
      </c>
      <c r="Y70" s="265" t="s">
        <v>1300</v>
      </c>
      <c r="Z70" s="265" t="s">
        <v>214</v>
      </c>
      <c r="AA70" s="265" t="s">
        <v>215</v>
      </c>
      <c r="AB70" s="265"/>
      <c r="AC70" s="304" t="s">
        <v>597</v>
      </c>
      <c r="AD70" s="272">
        <v>44589</v>
      </c>
      <c r="AE70" s="265"/>
      <c r="AF70" s="305" t="str">
        <f>+IF(AD70="","",TEXT(AD70,"mmm"))</f>
        <v>ene</v>
      </c>
      <c r="AG70" s="306">
        <f t="shared" si="26"/>
        <v>10</v>
      </c>
      <c r="AH70" s="307">
        <f t="shared" si="27"/>
        <v>8</v>
      </c>
      <c r="AI70" s="265" t="s">
        <v>258</v>
      </c>
      <c r="AJ70" s="265" t="s">
        <v>171</v>
      </c>
      <c r="AK70" s="277"/>
      <c r="AL70" s="277"/>
      <c r="AM70" s="309"/>
      <c r="AN70" s="269"/>
      <c r="AO70" s="277"/>
      <c r="AP70" s="309">
        <f t="shared" si="30"/>
        <v>62492850</v>
      </c>
      <c r="AQ70" s="289"/>
      <c r="AR70" s="289"/>
      <c r="AS70" s="277"/>
      <c r="AT70" s="260"/>
      <c r="AU70" s="260"/>
      <c r="AV70" s="200"/>
      <c r="AW70" s="200"/>
      <c r="AX70" s="200"/>
      <c r="AY70" s="200"/>
      <c r="AZ70" s="139">
        <f t="shared" si="13"/>
        <v>1</v>
      </c>
      <c r="BA70" s="200"/>
      <c r="BB70" s="203"/>
      <c r="BC70" s="95"/>
      <c r="BD70" s="2"/>
      <c r="BE70" s="2"/>
      <c r="BF70" s="160"/>
    </row>
    <row r="71" spans="2:58" ht="43.9" customHeight="1" x14ac:dyDescent="0.25">
      <c r="B71" s="100">
        <f t="shared" si="12"/>
        <v>53</v>
      </c>
      <c r="C71" s="110" t="s">
        <v>598</v>
      </c>
      <c r="D71" s="99" t="s">
        <v>32</v>
      </c>
      <c r="E71" s="140">
        <v>44579</v>
      </c>
      <c r="F71" s="268" t="s">
        <v>4431</v>
      </c>
      <c r="G71" s="96" t="s">
        <v>599</v>
      </c>
      <c r="H71" s="96" t="s">
        <v>600</v>
      </c>
      <c r="I71" s="99" t="s">
        <v>146</v>
      </c>
      <c r="J71" s="133" t="s">
        <v>601</v>
      </c>
      <c r="K71" s="341">
        <v>31318283</v>
      </c>
      <c r="L71" s="96" t="s">
        <v>549</v>
      </c>
      <c r="M71" s="99" t="s">
        <v>602</v>
      </c>
      <c r="N71" s="99"/>
      <c r="O71" s="99">
        <v>202200904</v>
      </c>
      <c r="P71" s="165">
        <v>31318283</v>
      </c>
      <c r="Q71" s="99" t="s">
        <v>146</v>
      </c>
      <c r="R71" s="99" t="s">
        <v>146</v>
      </c>
      <c r="S71" s="99"/>
      <c r="T71" s="111" t="s">
        <v>43</v>
      </c>
      <c r="U71" s="96" t="s">
        <v>572</v>
      </c>
      <c r="V71" s="97">
        <v>44581</v>
      </c>
      <c r="W71" s="166"/>
      <c r="X71" s="166"/>
      <c r="Y71" s="99"/>
      <c r="Z71" s="96" t="s">
        <v>168</v>
      </c>
      <c r="AA71" s="99" t="s">
        <v>169</v>
      </c>
      <c r="AB71" s="96" t="s">
        <v>603</v>
      </c>
      <c r="AC71" s="96"/>
      <c r="AD71" s="97">
        <v>44603</v>
      </c>
      <c r="AE71" s="362" t="s">
        <v>4431</v>
      </c>
      <c r="AF71" s="98"/>
      <c r="AG71" s="166">
        <f t="shared" si="26"/>
        <v>24</v>
      </c>
      <c r="AH71" s="166">
        <f t="shared" si="27"/>
        <v>22</v>
      </c>
      <c r="AI71" s="99" t="s">
        <v>258</v>
      </c>
      <c r="AJ71" s="96" t="s">
        <v>171</v>
      </c>
      <c r="AK71" s="99" t="s">
        <v>1060</v>
      </c>
      <c r="AL71" s="97">
        <v>44589</v>
      </c>
      <c r="AM71" s="214">
        <v>31318283</v>
      </c>
      <c r="AN71" s="96" t="s">
        <v>1061</v>
      </c>
      <c r="AO71" s="96"/>
      <c r="AP71" s="181">
        <f t="shared" si="30"/>
        <v>0</v>
      </c>
      <c r="AQ71" s="138"/>
      <c r="AR71" s="138"/>
      <c r="AS71" s="99" t="s">
        <v>146</v>
      </c>
      <c r="AT71" s="99" t="s">
        <v>146</v>
      </c>
      <c r="AU71" s="138"/>
      <c r="AV71" s="99" t="s">
        <v>1001</v>
      </c>
      <c r="AW71" s="99" t="s">
        <v>1123</v>
      </c>
      <c r="AX71" s="99"/>
      <c r="AY71" s="167">
        <f t="shared" ref="AY71:AY100" si="31">+AP71/K71</f>
        <v>0</v>
      </c>
      <c r="AZ71" s="139">
        <f t="shared" si="13"/>
        <v>1</v>
      </c>
      <c r="BA71" s="139">
        <f t="shared" ref="BA71:BA100" si="32">IF(T71="Invitación Privada",1,IF(T71="Invitación Pública",2,0))</f>
        <v>1</v>
      </c>
      <c r="BB71" s="132">
        <f>IF(AA71="CONTRATADO",IF(BA71=1,NETWORKDAYS.INTL(E71,AD71,1,[1]FESTIVOS!$B$3:$B$10)-1,AD71-E71))-BD71</f>
        <v>18</v>
      </c>
      <c r="BC71" s="157"/>
      <c r="BD71" s="162">
        <v>0</v>
      </c>
      <c r="BE71" s="382" t="s">
        <v>2052</v>
      </c>
      <c r="BF71" s="160"/>
    </row>
    <row r="72" spans="2:58" ht="43.9" customHeight="1" x14ac:dyDescent="0.25">
      <c r="B72" s="100">
        <f t="shared" si="12"/>
        <v>54</v>
      </c>
      <c r="C72" s="110" t="s">
        <v>604</v>
      </c>
      <c r="D72" s="99" t="s">
        <v>32</v>
      </c>
      <c r="E72" s="140">
        <v>44579</v>
      </c>
      <c r="F72" s="268" t="s">
        <v>4431</v>
      </c>
      <c r="G72" s="96" t="s">
        <v>605</v>
      </c>
      <c r="H72" s="96" t="s">
        <v>606</v>
      </c>
      <c r="I72" s="99" t="s">
        <v>146</v>
      </c>
      <c r="J72" s="133" t="s">
        <v>607</v>
      </c>
      <c r="K72" s="341">
        <v>48788215</v>
      </c>
      <c r="L72" s="96" t="s">
        <v>549</v>
      </c>
      <c r="M72" s="99" t="s">
        <v>608</v>
      </c>
      <c r="N72" s="99"/>
      <c r="O72" s="99">
        <v>202201938</v>
      </c>
      <c r="P72" s="165">
        <v>48788215</v>
      </c>
      <c r="Q72" s="99" t="s">
        <v>146</v>
      </c>
      <c r="R72" s="99" t="s">
        <v>146</v>
      </c>
      <c r="S72" s="111"/>
      <c r="T72" s="111" t="s">
        <v>43</v>
      </c>
      <c r="U72" s="96" t="s">
        <v>551</v>
      </c>
      <c r="V72" s="97">
        <v>44581</v>
      </c>
      <c r="W72" s="166"/>
      <c r="X72" s="166"/>
      <c r="Y72" s="99"/>
      <c r="Z72" s="96" t="s">
        <v>168</v>
      </c>
      <c r="AA72" s="99" t="s">
        <v>169</v>
      </c>
      <c r="AB72" s="96" t="s">
        <v>609</v>
      </c>
      <c r="AC72" s="96"/>
      <c r="AD72" s="97">
        <v>44602</v>
      </c>
      <c r="AE72" s="362" t="s">
        <v>4431</v>
      </c>
      <c r="AF72" s="98"/>
      <c r="AG72" s="166">
        <f t="shared" si="26"/>
        <v>23</v>
      </c>
      <c r="AH72" s="166">
        <f t="shared" si="27"/>
        <v>21</v>
      </c>
      <c r="AI72" s="99" t="s">
        <v>258</v>
      </c>
      <c r="AJ72" s="96" t="s">
        <v>171</v>
      </c>
      <c r="AK72" s="99" t="s">
        <v>1062</v>
      </c>
      <c r="AL72" s="97">
        <v>44589</v>
      </c>
      <c r="AM72" s="214">
        <v>48788215</v>
      </c>
      <c r="AN72" s="96" t="s">
        <v>1063</v>
      </c>
      <c r="AO72" s="96"/>
      <c r="AP72" s="181">
        <f t="shared" si="30"/>
        <v>0</v>
      </c>
      <c r="AQ72" s="138"/>
      <c r="AR72" s="138"/>
      <c r="AS72" s="99" t="s">
        <v>610</v>
      </c>
      <c r="AT72" s="97">
        <v>44574</v>
      </c>
      <c r="AU72" s="138"/>
      <c r="AV72" s="99" t="s">
        <v>1000</v>
      </c>
      <c r="AW72" s="99" t="s">
        <v>692</v>
      </c>
      <c r="AX72" s="99"/>
      <c r="AY72" s="167">
        <f t="shared" si="31"/>
        <v>0</v>
      </c>
      <c r="AZ72" s="139">
        <f t="shared" si="13"/>
        <v>1</v>
      </c>
      <c r="BA72" s="139">
        <f t="shared" si="32"/>
        <v>1</v>
      </c>
      <c r="BB72" s="132">
        <f>IF(AA72="CONTRATADO",IF(BA72=1,NETWORKDAYS.INTL(E72,AD72,1,[1]FESTIVOS!$B$3:$B$10)-1,AD72-E72))-BD72</f>
        <v>17</v>
      </c>
      <c r="BC72" s="157"/>
      <c r="BD72" s="162">
        <v>0</v>
      </c>
      <c r="BE72" s="382" t="s">
        <v>2052</v>
      </c>
      <c r="BF72" s="160"/>
    </row>
    <row r="73" spans="2:58" ht="43.9" customHeight="1" x14ac:dyDescent="0.25">
      <c r="B73" s="100">
        <f t="shared" si="12"/>
        <v>55</v>
      </c>
      <c r="C73" s="110" t="s">
        <v>611</v>
      </c>
      <c r="D73" s="99" t="s">
        <v>32</v>
      </c>
      <c r="E73" s="140">
        <v>44579</v>
      </c>
      <c r="F73" s="268" t="s">
        <v>4431</v>
      </c>
      <c r="G73" s="96" t="s">
        <v>612</v>
      </c>
      <c r="H73" s="96" t="s">
        <v>613</v>
      </c>
      <c r="I73" s="99" t="s">
        <v>146</v>
      </c>
      <c r="J73" s="133" t="s">
        <v>614</v>
      </c>
      <c r="K73" s="341">
        <v>8407493</v>
      </c>
      <c r="L73" s="96" t="s">
        <v>615</v>
      </c>
      <c r="M73" s="99" t="s">
        <v>616</v>
      </c>
      <c r="N73" s="99"/>
      <c r="O73" s="99">
        <v>202201115</v>
      </c>
      <c r="P73" s="165">
        <v>8407493</v>
      </c>
      <c r="Q73" s="99" t="s">
        <v>146</v>
      </c>
      <c r="R73" s="99" t="s">
        <v>146</v>
      </c>
      <c r="S73" s="99"/>
      <c r="T73" s="111" t="s">
        <v>43</v>
      </c>
      <c r="U73" s="96" t="s">
        <v>572</v>
      </c>
      <c r="V73" s="97">
        <v>44581</v>
      </c>
      <c r="W73" s="166"/>
      <c r="X73" s="166"/>
      <c r="Y73" s="99"/>
      <c r="Z73" s="96" t="s">
        <v>168</v>
      </c>
      <c r="AA73" s="99" t="s">
        <v>169</v>
      </c>
      <c r="AB73" s="96" t="s">
        <v>617</v>
      </c>
      <c r="AC73" s="96"/>
      <c r="AD73" s="97">
        <v>44603</v>
      </c>
      <c r="AE73" s="362" t="s">
        <v>4431</v>
      </c>
      <c r="AF73" s="98"/>
      <c r="AG73" s="166">
        <f t="shared" si="26"/>
        <v>24</v>
      </c>
      <c r="AH73" s="166">
        <f t="shared" si="27"/>
        <v>22</v>
      </c>
      <c r="AI73" s="99" t="s">
        <v>258</v>
      </c>
      <c r="AJ73" s="96" t="s">
        <v>171</v>
      </c>
      <c r="AK73" s="99" t="s">
        <v>1064</v>
      </c>
      <c r="AL73" s="97">
        <v>44588</v>
      </c>
      <c r="AM73" s="214">
        <v>8407493</v>
      </c>
      <c r="AN73" s="96" t="s">
        <v>1065</v>
      </c>
      <c r="AO73" s="96"/>
      <c r="AP73" s="181">
        <f t="shared" si="30"/>
        <v>0</v>
      </c>
      <c r="AQ73" s="138"/>
      <c r="AR73" s="138"/>
      <c r="AS73" s="99" t="s">
        <v>618</v>
      </c>
      <c r="AT73" s="97">
        <v>44567</v>
      </c>
      <c r="AU73" s="138"/>
      <c r="AV73" s="99" t="s">
        <v>691</v>
      </c>
      <c r="AW73" s="99" t="s">
        <v>692</v>
      </c>
      <c r="AX73" s="99"/>
      <c r="AY73" s="167">
        <f t="shared" si="31"/>
        <v>0</v>
      </c>
      <c r="AZ73" s="139">
        <f t="shared" si="13"/>
        <v>1</v>
      </c>
      <c r="BA73" s="139">
        <f t="shared" si="32"/>
        <v>1</v>
      </c>
      <c r="BB73" s="132">
        <f>IF(AA73="CONTRATADO",IF(BA73=1,NETWORKDAYS.INTL(E73,AD73,1,[1]FESTIVOS!$B$3:$B$10)-1,AD73-E73))-BD73</f>
        <v>18</v>
      </c>
      <c r="BC73" s="157"/>
      <c r="BD73" s="162">
        <v>0</v>
      </c>
      <c r="BE73" s="382" t="s">
        <v>2052</v>
      </c>
    </row>
    <row r="74" spans="2:58" ht="43.9" customHeight="1" x14ac:dyDescent="0.25">
      <c r="B74" s="100">
        <f t="shared" si="12"/>
        <v>56</v>
      </c>
      <c r="C74" s="110" t="s">
        <v>619</v>
      </c>
      <c r="D74" s="99" t="s">
        <v>28</v>
      </c>
      <c r="E74" s="140">
        <v>44579</v>
      </c>
      <c r="F74" s="268" t="s">
        <v>4431</v>
      </c>
      <c r="G74" s="96" t="s">
        <v>620</v>
      </c>
      <c r="H74" s="96" t="s">
        <v>621</v>
      </c>
      <c r="I74" s="99" t="s">
        <v>146</v>
      </c>
      <c r="J74" s="133" t="s">
        <v>622</v>
      </c>
      <c r="K74" s="341">
        <v>8000000</v>
      </c>
      <c r="L74" s="96" t="s">
        <v>670</v>
      </c>
      <c r="M74" s="99" t="s">
        <v>623</v>
      </c>
      <c r="N74" s="99"/>
      <c r="O74" s="99">
        <v>202200909</v>
      </c>
      <c r="P74" s="165">
        <v>8000000</v>
      </c>
      <c r="Q74" s="99" t="s">
        <v>146</v>
      </c>
      <c r="R74" s="99" t="s">
        <v>146</v>
      </c>
      <c r="S74" s="99"/>
      <c r="T74" s="111" t="s">
        <v>43</v>
      </c>
      <c r="U74" s="96" t="s">
        <v>624</v>
      </c>
      <c r="V74" s="97">
        <v>44582</v>
      </c>
      <c r="W74" s="166"/>
      <c r="X74" s="166"/>
      <c r="Y74" s="99"/>
      <c r="Z74" s="96" t="s">
        <v>168</v>
      </c>
      <c r="AA74" s="99" t="s">
        <v>169</v>
      </c>
      <c r="AB74" s="96" t="s">
        <v>625</v>
      </c>
      <c r="AC74" s="96"/>
      <c r="AD74" s="97">
        <v>44605</v>
      </c>
      <c r="AE74" s="362" t="s">
        <v>4431</v>
      </c>
      <c r="AF74" s="98"/>
      <c r="AG74" s="166">
        <f t="shared" si="26"/>
        <v>26</v>
      </c>
      <c r="AH74" s="166">
        <f t="shared" si="27"/>
        <v>23</v>
      </c>
      <c r="AI74" s="99" t="s">
        <v>258</v>
      </c>
      <c r="AJ74" s="96" t="s">
        <v>171</v>
      </c>
      <c r="AK74" s="99" t="s">
        <v>1066</v>
      </c>
      <c r="AL74" s="97">
        <v>44588</v>
      </c>
      <c r="AM74" s="214">
        <v>8000000</v>
      </c>
      <c r="AN74" s="96" t="s">
        <v>1067</v>
      </c>
      <c r="AO74" s="96"/>
      <c r="AP74" s="181">
        <f t="shared" si="30"/>
        <v>0</v>
      </c>
      <c r="AQ74" s="138"/>
      <c r="AR74" s="138"/>
      <c r="AS74" s="99" t="s">
        <v>146</v>
      </c>
      <c r="AT74" s="99" t="s">
        <v>146</v>
      </c>
      <c r="AU74" s="138"/>
      <c r="AV74" s="99" t="s">
        <v>174</v>
      </c>
      <c r="AW74" s="99" t="s">
        <v>175</v>
      </c>
      <c r="AX74" s="99"/>
      <c r="AY74" s="167">
        <f t="shared" si="31"/>
        <v>0</v>
      </c>
      <c r="AZ74" s="139">
        <f t="shared" si="13"/>
        <v>1</v>
      </c>
      <c r="BA74" s="139">
        <f t="shared" si="32"/>
        <v>1</v>
      </c>
      <c r="BB74" s="132">
        <f>IF(AA74="CONTRATADO",IF(BA74=1,NETWORKDAYS.INTL(E74,AD74,1,[1]FESTIVOS!$B$3:$B$10)-1,AD74-E74))-BD74</f>
        <v>18</v>
      </c>
      <c r="BC74" s="157"/>
      <c r="BD74" s="162">
        <v>0</v>
      </c>
      <c r="BE74" s="382" t="s">
        <v>2052</v>
      </c>
      <c r="BF74" s="160"/>
    </row>
    <row r="75" spans="2:58" ht="43.9" customHeight="1" x14ac:dyDescent="0.25">
      <c r="B75" s="100">
        <f t="shared" si="12"/>
        <v>57</v>
      </c>
      <c r="C75" s="110" t="s">
        <v>626</v>
      </c>
      <c r="D75" s="99" t="s">
        <v>28</v>
      </c>
      <c r="E75" s="140">
        <v>44579</v>
      </c>
      <c r="F75" s="268" t="s">
        <v>4431</v>
      </c>
      <c r="G75" s="96" t="s">
        <v>627</v>
      </c>
      <c r="H75" s="96" t="s">
        <v>628</v>
      </c>
      <c r="I75" s="96" t="s">
        <v>629</v>
      </c>
      <c r="J75" s="133" t="s">
        <v>630</v>
      </c>
      <c r="K75" s="341">
        <v>298465748</v>
      </c>
      <c r="L75" s="96" t="s">
        <v>549</v>
      </c>
      <c r="M75" s="99" t="s">
        <v>146</v>
      </c>
      <c r="N75" s="99"/>
      <c r="O75" s="99">
        <v>202200897</v>
      </c>
      <c r="P75" s="165">
        <v>355207860</v>
      </c>
      <c r="Q75" s="99" t="s">
        <v>146</v>
      </c>
      <c r="R75" s="99" t="s">
        <v>146</v>
      </c>
      <c r="S75" s="99"/>
      <c r="T75" s="96" t="s">
        <v>230</v>
      </c>
      <c r="U75" s="96" t="s">
        <v>34</v>
      </c>
      <c r="V75" s="97">
        <v>44581</v>
      </c>
      <c r="W75" s="166"/>
      <c r="X75" s="166"/>
      <c r="Y75" s="99"/>
      <c r="Z75" s="96" t="s">
        <v>168</v>
      </c>
      <c r="AA75" s="99" t="s">
        <v>169</v>
      </c>
      <c r="AB75" s="96" t="s">
        <v>631</v>
      </c>
      <c r="AC75" s="96"/>
      <c r="AD75" s="141">
        <v>44600</v>
      </c>
      <c r="AE75" s="362" t="s">
        <v>4432</v>
      </c>
      <c r="AF75" s="98"/>
      <c r="AG75" s="166">
        <f t="shared" si="26"/>
        <v>21</v>
      </c>
      <c r="AH75" s="166">
        <f t="shared" si="27"/>
        <v>19</v>
      </c>
      <c r="AI75" s="99" t="s">
        <v>146</v>
      </c>
      <c r="AJ75" s="96" t="s">
        <v>491</v>
      </c>
      <c r="AK75" s="96" t="s">
        <v>1068</v>
      </c>
      <c r="AL75" s="97">
        <v>44587</v>
      </c>
      <c r="AM75" s="214">
        <v>298130016</v>
      </c>
      <c r="AN75" s="96" t="s">
        <v>1069</v>
      </c>
      <c r="AO75" s="96"/>
      <c r="AP75" s="181">
        <f t="shared" si="30"/>
        <v>335732</v>
      </c>
      <c r="AQ75" s="138"/>
      <c r="AR75" s="138"/>
      <c r="AS75" s="99" t="s">
        <v>632</v>
      </c>
      <c r="AT75" s="97">
        <v>44578</v>
      </c>
      <c r="AU75" s="138"/>
      <c r="AV75" s="99" t="s">
        <v>1124</v>
      </c>
      <c r="AW75" s="99" t="s">
        <v>692</v>
      </c>
      <c r="AX75" s="99"/>
      <c r="AY75" s="167">
        <f t="shared" si="31"/>
        <v>1.1248593925759281E-3</v>
      </c>
      <c r="AZ75" s="139">
        <f t="shared" si="13"/>
        <v>1</v>
      </c>
      <c r="BA75" s="139">
        <f t="shared" si="32"/>
        <v>0</v>
      </c>
      <c r="BB75" s="132">
        <f>IF(AA75="CONTRATADO",IF(BA75=1,NETWORKDAYS.INTL(E75,AD75,1,[1]FESTIVOS!$B$3:$B$10)-1,AD75-E75))-BD75</f>
        <v>21</v>
      </c>
      <c r="BC75" s="157"/>
      <c r="BD75" s="162">
        <v>0</v>
      </c>
      <c r="BE75" s="382" t="s">
        <v>2052</v>
      </c>
    </row>
    <row r="76" spans="2:58" ht="43.9" customHeight="1" x14ac:dyDescent="0.25">
      <c r="B76" s="100">
        <f t="shared" si="12"/>
        <v>58</v>
      </c>
      <c r="C76" s="110" t="s">
        <v>633</v>
      </c>
      <c r="D76" s="99" t="s">
        <v>28</v>
      </c>
      <c r="E76" s="140">
        <v>44579</v>
      </c>
      <c r="F76" s="268" t="s">
        <v>4431</v>
      </c>
      <c r="G76" s="96" t="s">
        <v>634</v>
      </c>
      <c r="H76" s="96" t="s">
        <v>635</v>
      </c>
      <c r="I76" s="96" t="s">
        <v>636</v>
      </c>
      <c r="J76" s="133" t="s">
        <v>637</v>
      </c>
      <c r="K76" s="341">
        <v>1181777325</v>
      </c>
      <c r="L76" s="96" t="s">
        <v>638</v>
      </c>
      <c r="M76" s="99" t="s">
        <v>146</v>
      </c>
      <c r="N76" s="99"/>
      <c r="O76" s="99">
        <v>202200895</v>
      </c>
      <c r="P76" s="165">
        <v>1406325281</v>
      </c>
      <c r="Q76" s="99" t="s">
        <v>146</v>
      </c>
      <c r="R76" s="99" t="s">
        <v>146</v>
      </c>
      <c r="S76" s="99"/>
      <c r="T76" s="96" t="s">
        <v>230</v>
      </c>
      <c r="U76" s="96" t="s">
        <v>29</v>
      </c>
      <c r="V76" s="97">
        <v>44581</v>
      </c>
      <c r="W76" s="166"/>
      <c r="X76" s="166"/>
      <c r="Y76" s="99"/>
      <c r="Z76" s="96" t="s">
        <v>168</v>
      </c>
      <c r="AA76" s="99" t="s">
        <v>169</v>
      </c>
      <c r="AB76" s="99"/>
      <c r="AC76" s="99"/>
      <c r="AD76" s="97">
        <v>44600</v>
      </c>
      <c r="AE76" s="362" t="s">
        <v>4432</v>
      </c>
      <c r="AF76" s="98"/>
      <c r="AG76" s="166">
        <f t="shared" si="26"/>
        <v>21</v>
      </c>
      <c r="AH76" s="166">
        <f t="shared" si="27"/>
        <v>19</v>
      </c>
      <c r="AI76" s="99" t="s">
        <v>146</v>
      </c>
      <c r="AJ76" s="96" t="s">
        <v>491</v>
      </c>
      <c r="AK76" s="96" t="s">
        <v>1070</v>
      </c>
      <c r="AL76" s="97">
        <v>44588</v>
      </c>
      <c r="AM76" s="214">
        <v>1181118035</v>
      </c>
      <c r="AN76" s="96" t="s">
        <v>1071</v>
      </c>
      <c r="AO76" s="96"/>
      <c r="AP76" s="181">
        <f t="shared" si="30"/>
        <v>659290</v>
      </c>
      <c r="AQ76" s="138"/>
      <c r="AR76" s="138"/>
      <c r="AS76" s="99" t="s">
        <v>639</v>
      </c>
      <c r="AT76" s="97">
        <v>44578</v>
      </c>
      <c r="AU76" s="138"/>
      <c r="AV76" s="99" t="s">
        <v>1001</v>
      </c>
      <c r="AW76" s="99" t="s">
        <v>1002</v>
      </c>
      <c r="AX76" s="99"/>
      <c r="AY76" s="167">
        <f t="shared" si="31"/>
        <v>5.5788005578800558E-4</v>
      </c>
      <c r="AZ76" s="139">
        <f t="shared" si="13"/>
        <v>1</v>
      </c>
      <c r="BA76" s="139">
        <f t="shared" si="32"/>
        <v>0</v>
      </c>
      <c r="BB76" s="132">
        <f>IF(AA76="CONTRATADO",IF(BA76=1,NETWORKDAYS.INTL(E76,AD76,1,[1]FESTIVOS!$B$3:$B$10)-1,AD76-E76))-BD76</f>
        <v>21</v>
      </c>
      <c r="BC76" s="157"/>
      <c r="BD76" s="162">
        <v>0</v>
      </c>
      <c r="BE76" s="382" t="s">
        <v>2052</v>
      </c>
    </row>
    <row r="77" spans="2:58" ht="43.9" customHeight="1" x14ac:dyDescent="0.25">
      <c r="B77" s="100">
        <f t="shared" si="12"/>
        <v>59</v>
      </c>
      <c r="C77" s="110" t="s">
        <v>640</v>
      </c>
      <c r="D77" s="99" t="s">
        <v>28</v>
      </c>
      <c r="E77" s="140">
        <v>44579</v>
      </c>
      <c r="F77" s="268" t="s">
        <v>4431</v>
      </c>
      <c r="G77" s="96" t="s">
        <v>641</v>
      </c>
      <c r="H77" s="96" t="s">
        <v>642</v>
      </c>
      <c r="I77" s="96" t="s">
        <v>636</v>
      </c>
      <c r="J77" s="133" t="s">
        <v>643</v>
      </c>
      <c r="K77" s="341">
        <v>46963851</v>
      </c>
      <c r="L77" s="96" t="s">
        <v>644</v>
      </c>
      <c r="M77" s="99" t="s">
        <v>146</v>
      </c>
      <c r="N77" s="99"/>
      <c r="O77" s="99">
        <v>202200901</v>
      </c>
      <c r="P77" s="165">
        <v>55891920</v>
      </c>
      <c r="Q77" s="99" t="s">
        <v>146</v>
      </c>
      <c r="R77" s="99" t="s">
        <v>146</v>
      </c>
      <c r="S77" s="99"/>
      <c r="T77" s="96" t="s">
        <v>230</v>
      </c>
      <c r="U77" s="96" t="s">
        <v>29</v>
      </c>
      <c r="V77" s="97">
        <v>44581</v>
      </c>
      <c r="W77" s="166"/>
      <c r="X77" s="166"/>
      <c r="Y77" s="99"/>
      <c r="Z77" s="96" t="s">
        <v>168</v>
      </c>
      <c r="AA77" s="99" t="s">
        <v>169</v>
      </c>
      <c r="AB77" s="99"/>
      <c r="AC77" s="99"/>
      <c r="AD77" s="97">
        <v>44601</v>
      </c>
      <c r="AE77" s="362" t="s">
        <v>4432</v>
      </c>
      <c r="AF77" s="98"/>
      <c r="AG77" s="166">
        <f t="shared" si="26"/>
        <v>22</v>
      </c>
      <c r="AH77" s="166">
        <f t="shared" si="27"/>
        <v>20</v>
      </c>
      <c r="AI77" s="99" t="s">
        <v>146</v>
      </c>
      <c r="AJ77" s="96" t="s">
        <v>491</v>
      </c>
      <c r="AK77" s="96" t="s">
        <v>1072</v>
      </c>
      <c r="AL77" s="97">
        <v>44588</v>
      </c>
      <c r="AM77" s="214">
        <v>46939530</v>
      </c>
      <c r="AN77" s="96" t="s">
        <v>1071</v>
      </c>
      <c r="AO77" s="96"/>
      <c r="AP77" s="181">
        <f t="shared" si="30"/>
        <v>24321</v>
      </c>
      <c r="AQ77" s="138"/>
      <c r="AR77" s="138"/>
      <c r="AS77" s="99" t="s">
        <v>645</v>
      </c>
      <c r="AT77" s="97">
        <v>44578</v>
      </c>
      <c r="AU77" s="138"/>
      <c r="AV77" s="99" t="s">
        <v>174</v>
      </c>
      <c r="AW77" s="99" t="s">
        <v>175</v>
      </c>
      <c r="AX77" s="99"/>
      <c r="AY77" s="167">
        <f t="shared" si="31"/>
        <v>5.1786639047125837E-4</v>
      </c>
      <c r="AZ77" s="139">
        <f t="shared" si="13"/>
        <v>1</v>
      </c>
      <c r="BA77" s="139">
        <f t="shared" si="32"/>
        <v>0</v>
      </c>
      <c r="BB77" s="132">
        <f>IF(AA77="CONTRATADO",IF(BA77=1,NETWORKDAYS.INTL(E77,AD77,1,[1]FESTIVOS!$B$3:$B$10)-1,AD77-E77))-BD77</f>
        <v>22</v>
      </c>
      <c r="BC77" s="157"/>
      <c r="BD77" s="162">
        <v>0</v>
      </c>
      <c r="BE77" s="382" t="s">
        <v>2052</v>
      </c>
    </row>
    <row r="78" spans="2:58" ht="43.9" customHeight="1" x14ac:dyDescent="0.25">
      <c r="B78" s="100">
        <f t="shared" si="12"/>
        <v>60</v>
      </c>
      <c r="C78" s="110" t="s">
        <v>646</v>
      </c>
      <c r="D78" s="99" t="s">
        <v>28</v>
      </c>
      <c r="E78" s="140">
        <v>44579</v>
      </c>
      <c r="F78" s="268" t="s">
        <v>4431</v>
      </c>
      <c r="G78" s="96" t="s">
        <v>647</v>
      </c>
      <c r="H78" s="99" t="s">
        <v>648</v>
      </c>
      <c r="I78" s="96" t="s">
        <v>649</v>
      </c>
      <c r="J78" s="133" t="s">
        <v>650</v>
      </c>
      <c r="K78" s="341">
        <v>1504140966</v>
      </c>
      <c r="L78" s="96" t="s">
        <v>651</v>
      </c>
      <c r="M78" s="99" t="s">
        <v>146</v>
      </c>
      <c r="N78" s="99"/>
      <c r="O78" s="99">
        <v>202200900</v>
      </c>
      <c r="P78" s="173">
        <v>1526456138</v>
      </c>
      <c r="Q78" s="99" t="s">
        <v>146</v>
      </c>
      <c r="R78" s="99" t="s">
        <v>146</v>
      </c>
      <c r="S78" s="99"/>
      <c r="T78" s="96" t="s">
        <v>230</v>
      </c>
      <c r="U78" s="96" t="s">
        <v>29</v>
      </c>
      <c r="V78" s="97">
        <v>44581</v>
      </c>
      <c r="W78" s="166" t="e">
        <f>+#REF!-E78</f>
        <v>#REF!</v>
      </c>
      <c r="X78" s="166" t="e">
        <f>#REF!-V78</f>
        <v>#REF!</v>
      </c>
      <c r="Y78" s="99" t="s">
        <v>1317</v>
      </c>
      <c r="Z78" s="96" t="s">
        <v>168</v>
      </c>
      <c r="AA78" s="99" t="s">
        <v>169</v>
      </c>
      <c r="AB78" s="99"/>
      <c r="AC78" s="99"/>
      <c r="AD78" s="97">
        <v>44606</v>
      </c>
      <c r="AE78" s="362" t="s">
        <v>4433</v>
      </c>
      <c r="AF78" s="98"/>
      <c r="AG78" s="166">
        <f t="shared" si="26"/>
        <v>27</v>
      </c>
      <c r="AH78" s="166">
        <f t="shared" si="27"/>
        <v>25</v>
      </c>
      <c r="AI78" s="99" t="s">
        <v>146</v>
      </c>
      <c r="AJ78" s="96" t="s">
        <v>171</v>
      </c>
      <c r="AK78" s="96" t="s">
        <v>1555</v>
      </c>
      <c r="AL78" s="97">
        <v>44589</v>
      </c>
      <c r="AM78" s="214">
        <v>1282734965.3999999</v>
      </c>
      <c r="AN78" s="96" t="s">
        <v>1069</v>
      </c>
      <c r="AO78" s="96"/>
      <c r="AP78" s="181">
        <f t="shared" si="30"/>
        <v>221406000.60000014</v>
      </c>
      <c r="AQ78" s="138"/>
      <c r="AR78" s="138"/>
      <c r="AS78" s="99" t="s">
        <v>652</v>
      </c>
      <c r="AT78" s="97">
        <v>44578</v>
      </c>
      <c r="AU78" s="138"/>
      <c r="AV78" s="99" t="s">
        <v>1001</v>
      </c>
      <c r="AW78" s="99" t="s">
        <v>1002</v>
      </c>
      <c r="AX78" s="99"/>
      <c r="AY78" s="167">
        <f t="shared" si="31"/>
        <v>0.14719764011799419</v>
      </c>
      <c r="AZ78" s="139">
        <f t="shared" si="13"/>
        <v>1</v>
      </c>
      <c r="BA78" s="139">
        <f t="shared" si="32"/>
        <v>0</v>
      </c>
      <c r="BB78" s="132">
        <f>IF(AA78="CONTRATADO",IF(BA78=1,NETWORKDAYS.INTL(E78,AD78,1,[1]FESTIVOS!$B$3:$B$10)-1,AD78-E78))-BD78</f>
        <v>27</v>
      </c>
      <c r="BC78" s="157"/>
      <c r="BD78" s="162">
        <v>0</v>
      </c>
      <c r="BE78" s="382" t="s">
        <v>2052</v>
      </c>
    </row>
    <row r="79" spans="2:58" ht="43.9" customHeight="1" x14ac:dyDescent="0.25">
      <c r="B79" s="100">
        <f t="shared" si="12"/>
        <v>61</v>
      </c>
      <c r="C79" s="110" t="s">
        <v>653</v>
      </c>
      <c r="D79" s="99" t="s">
        <v>28</v>
      </c>
      <c r="E79" s="140">
        <v>44579</v>
      </c>
      <c r="F79" s="268" t="s">
        <v>4431</v>
      </c>
      <c r="G79" s="96" t="s">
        <v>654</v>
      </c>
      <c r="H79" s="99" t="s">
        <v>655</v>
      </c>
      <c r="I79" s="96" t="s">
        <v>656</v>
      </c>
      <c r="J79" s="133" t="s">
        <v>657</v>
      </c>
      <c r="K79" s="341">
        <v>766147800</v>
      </c>
      <c r="L79" s="96" t="s">
        <v>658</v>
      </c>
      <c r="M79" s="99" t="s">
        <v>146</v>
      </c>
      <c r="N79" s="99"/>
      <c r="O79" s="99">
        <v>202200898</v>
      </c>
      <c r="P79" s="172">
        <v>796239234</v>
      </c>
      <c r="Q79" s="99" t="s">
        <v>146</v>
      </c>
      <c r="R79" s="99" t="s">
        <v>146</v>
      </c>
      <c r="S79" s="99"/>
      <c r="T79" s="96" t="s">
        <v>230</v>
      </c>
      <c r="U79" s="96" t="s">
        <v>29</v>
      </c>
      <c r="V79" s="97">
        <v>44581</v>
      </c>
      <c r="W79" s="166" t="e">
        <f>+#REF!-E79</f>
        <v>#REF!</v>
      </c>
      <c r="X79" s="166" t="e">
        <f>#REF!-V79</f>
        <v>#REF!</v>
      </c>
      <c r="Y79" s="99" t="s">
        <v>1317</v>
      </c>
      <c r="Z79" s="96" t="s">
        <v>168</v>
      </c>
      <c r="AA79" s="99" t="s">
        <v>169</v>
      </c>
      <c r="AB79" s="96" t="s">
        <v>1318</v>
      </c>
      <c r="AC79" s="99"/>
      <c r="AD79" s="97">
        <v>44628</v>
      </c>
      <c r="AE79" s="362" t="s">
        <v>4433</v>
      </c>
      <c r="AF79" s="98"/>
      <c r="AG79" s="166">
        <f t="shared" si="26"/>
        <v>49</v>
      </c>
      <c r="AH79" s="166">
        <f t="shared" si="27"/>
        <v>47</v>
      </c>
      <c r="AI79" s="99" t="s">
        <v>146</v>
      </c>
      <c r="AJ79" s="96" t="s">
        <v>171</v>
      </c>
      <c r="AK79" s="96" t="s">
        <v>1319</v>
      </c>
      <c r="AL79" s="97">
        <v>44600</v>
      </c>
      <c r="AM79" s="214">
        <v>669060200</v>
      </c>
      <c r="AN79" s="96" t="s">
        <v>1071</v>
      </c>
      <c r="AO79" s="96"/>
      <c r="AP79" s="181">
        <f t="shared" si="30"/>
        <v>97087600</v>
      </c>
      <c r="AQ79" s="138"/>
      <c r="AR79" s="138"/>
      <c r="AS79" s="99" t="s">
        <v>659</v>
      </c>
      <c r="AT79" s="97">
        <v>44578</v>
      </c>
      <c r="AU79" s="138"/>
      <c r="AV79" s="99" t="s">
        <v>1122</v>
      </c>
      <c r="AW79" s="99" t="s">
        <v>1002</v>
      </c>
      <c r="AX79" s="99"/>
      <c r="AY79" s="167">
        <f t="shared" si="31"/>
        <v>0.12672176308539945</v>
      </c>
      <c r="AZ79" s="139">
        <f t="shared" si="13"/>
        <v>1</v>
      </c>
      <c r="BA79" s="139">
        <f t="shared" si="32"/>
        <v>0</v>
      </c>
      <c r="BB79" s="132">
        <f>IF(AA79="CONTRATADO",IF(BA79=1,NETWORKDAYS.INTL(E79,AD79,1,[1]FESTIVOS!$B$3:$B$10)-1,AD79-E79))-BD79</f>
        <v>49</v>
      </c>
      <c r="BC79" s="157"/>
      <c r="BD79" s="162">
        <v>0</v>
      </c>
      <c r="BE79" s="382" t="s">
        <v>2052</v>
      </c>
    </row>
    <row r="80" spans="2:58" ht="43.9" customHeight="1" x14ac:dyDescent="0.25">
      <c r="B80" s="100">
        <f t="shared" si="12"/>
        <v>62</v>
      </c>
      <c r="C80" s="110" t="s">
        <v>660</v>
      </c>
      <c r="D80" s="99" t="s">
        <v>661</v>
      </c>
      <c r="E80" s="140">
        <v>44579</v>
      </c>
      <c r="F80" s="268" t="s">
        <v>4431</v>
      </c>
      <c r="G80" s="96" t="s">
        <v>662</v>
      </c>
      <c r="H80" s="96" t="s">
        <v>663</v>
      </c>
      <c r="I80" s="96" t="s">
        <v>146</v>
      </c>
      <c r="J80" s="133" t="s">
        <v>664</v>
      </c>
      <c r="K80" s="341">
        <v>84605611</v>
      </c>
      <c r="L80" s="96" t="s">
        <v>328</v>
      </c>
      <c r="M80" s="96" t="s">
        <v>1073</v>
      </c>
      <c r="N80" s="96"/>
      <c r="O80" s="99">
        <v>202201674</v>
      </c>
      <c r="P80" s="165">
        <v>84605611</v>
      </c>
      <c r="Q80" s="99" t="s">
        <v>146</v>
      </c>
      <c r="R80" s="99" t="s">
        <v>146</v>
      </c>
      <c r="S80" s="99"/>
      <c r="T80" s="111" t="s">
        <v>43</v>
      </c>
      <c r="U80" s="96" t="s">
        <v>161</v>
      </c>
      <c r="V80" s="97">
        <v>44581</v>
      </c>
      <c r="W80" s="166"/>
      <c r="X80" s="166"/>
      <c r="Y80" s="99"/>
      <c r="Z80" s="96" t="s">
        <v>168</v>
      </c>
      <c r="AA80" s="99" t="s">
        <v>169</v>
      </c>
      <c r="AB80" s="96" t="s">
        <v>665</v>
      </c>
      <c r="AC80" s="96"/>
      <c r="AD80" s="97">
        <v>44595</v>
      </c>
      <c r="AE80" s="362" t="s">
        <v>4431</v>
      </c>
      <c r="AF80" s="98"/>
      <c r="AG80" s="166">
        <f t="shared" si="26"/>
        <v>16</v>
      </c>
      <c r="AH80" s="166">
        <f t="shared" si="27"/>
        <v>14</v>
      </c>
      <c r="AI80" s="99" t="s">
        <v>258</v>
      </c>
      <c r="AJ80" s="96" t="s">
        <v>171</v>
      </c>
      <c r="AK80" s="99" t="s">
        <v>1074</v>
      </c>
      <c r="AL80" s="97">
        <v>44588</v>
      </c>
      <c r="AM80" s="214">
        <v>84605611</v>
      </c>
      <c r="AN80" s="96" t="s">
        <v>1075</v>
      </c>
      <c r="AO80" s="96"/>
      <c r="AP80" s="181">
        <f t="shared" si="30"/>
        <v>0</v>
      </c>
      <c r="AQ80" s="138"/>
      <c r="AR80" s="138"/>
      <c r="AS80" s="99" t="s">
        <v>146</v>
      </c>
      <c r="AT80" s="99" t="s">
        <v>146</v>
      </c>
      <c r="AU80" s="138"/>
      <c r="AV80" s="99" t="s">
        <v>174</v>
      </c>
      <c r="AW80" s="99" t="s">
        <v>175</v>
      </c>
      <c r="AX80" s="99"/>
      <c r="AY80" s="167">
        <f t="shared" si="31"/>
        <v>0</v>
      </c>
      <c r="AZ80" s="139">
        <f t="shared" si="13"/>
        <v>0</v>
      </c>
      <c r="BA80" s="139">
        <f t="shared" si="32"/>
        <v>1</v>
      </c>
      <c r="BB80" s="132">
        <f>IF(AA80="CONTRATADO",IF(BA80=1,NETWORKDAYS.INTL(E80,AD80,1,[1]FESTIVOS!$B$3:$B$10)-1,AD80-E80))-BD80</f>
        <v>12</v>
      </c>
      <c r="BC80" s="157"/>
      <c r="BD80" s="162">
        <v>0</v>
      </c>
      <c r="BE80" s="382" t="s">
        <v>2052</v>
      </c>
    </row>
    <row r="81" spans="2:58" ht="43.9" customHeight="1" x14ac:dyDescent="0.25">
      <c r="B81" s="100">
        <f t="shared" si="12"/>
        <v>63</v>
      </c>
      <c r="C81" s="110" t="s">
        <v>666</v>
      </c>
      <c r="D81" s="99" t="s">
        <v>28</v>
      </c>
      <c r="E81" s="140">
        <v>44579</v>
      </c>
      <c r="F81" s="268" t="s">
        <v>4431</v>
      </c>
      <c r="G81" s="96" t="s">
        <v>667</v>
      </c>
      <c r="H81" s="96" t="s">
        <v>668</v>
      </c>
      <c r="I81" s="96" t="s">
        <v>146</v>
      </c>
      <c r="J81" s="133" t="s">
        <v>669</v>
      </c>
      <c r="K81" s="341">
        <v>197295959</v>
      </c>
      <c r="L81" s="96" t="s">
        <v>670</v>
      </c>
      <c r="M81" s="96" t="s">
        <v>1076</v>
      </c>
      <c r="N81" s="96"/>
      <c r="O81" s="99">
        <v>202201926</v>
      </c>
      <c r="P81" s="165">
        <v>200000000</v>
      </c>
      <c r="Q81" s="99" t="s">
        <v>146</v>
      </c>
      <c r="R81" s="99" t="s">
        <v>146</v>
      </c>
      <c r="S81" s="99"/>
      <c r="T81" s="111" t="s">
        <v>43</v>
      </c>
      <c r="U81" s="96" t="s">
        <v>161</v>
      </c>
      <c r="V81" s="97">
        <v>44581</v>
      </c>
      <c r="W81" s="166"/>
      <c r="X81" s="166"/>
      <c r="Y81" s="99"/>
      <c r="Z81" s="96" t="s">
        <v>168</v>
      </c>
      <c r="AA81" s="99" t="s">
        <v>169</v>
      </c>
      <c r="AB81" s="96" t="s">
        <v>665</v>
      </c>
      <c r="AC81" s="96"/>
      <c r="AD81" s="97">
        <v>44599</v>
      </c>
      <c r="AE81" s="362" t="s">
        <v>4431</v>
      </c>
      <c r="AF81" s="98"/>
      <c r="AG81" s="166">
        <f t="shared" si="26"/>
        <v>20</v>
      </c>
      <c r="AH81" s="166">
        <f t="shared" si="27"/>
        <v>18</v>
      </c>
      <c r="AI81" s="99" t="s">
        <v>258</v>
      </c>
      <c r="AJ81" s="96" t="s">
        <v>155</v>
      </c>
      <c r="AK81" s="99" t="s">
        <v>1077</v>
      </c>
      <c r="AL81" s="97">
        <v>44588</v>
      </c>
      <c r="AM81" s="214">
        <v>194860197</v>
      </c>
      <c r="AN81" s="96" t="s">
        <v>1078</v>
      </c>
      <c r="AO81" s="96"/>
      <c r="AP81" s="181">
        <f t="shared" si="30"/>
        <v>2435762</v>
      </c>
      <c r="AQ81" s="138"/>
      <c r="AR81" s="138"/>
      <c r="AS81" s="99" t="s">
        <v>146</v>
      </c>
      <c r="AT81" s="99" t="s">
        <v>146</v>
      </c>
      <c r="AU81" s="138"/>
      <c r="AV81" s="99" t="s">
        <v>1125</v>
      </c>
      <c r="AW81" s="99" t="s">
        <v>1123</v>
      </c>
      <c r="AX81" s="99"/>
      <c r="AY81" s="167">
        <f t="shared" si="31"/>
        <v>1.2345726756623536E-2</v>
      </c>
      <c r="AZ81" s="139">
        <f t="shared" si="13"/>
        <v>1</v>
      </c>
      <c r="BA81" s="139">
        <f t="shared" si="32"/>
        <v>1</v>
      </c>
      <c r="BB81" s="132">
        <f>IF(AA81="CONTRATADO",IF(BA81=1,NETWORKDAYS.INTL(E81,AD81,1,[1]FESTIVOS!$B$3:$B$10)-1,AD81-E81))-BD81</f>
        <v>14</v>
      </c>
      <c r="BC81" s="157"/>
      <c r="BD81" s="162">
        <v>0</v>
      </c>
      <c r="BE81" s="382" t="s">
        <v>2052</v>
      </c>
    </row>
    <row r="82" spans="2:58" ht="43.9" customHeight="1" x14ac:dyDescent="0.25">
      <c r="B82" s="100">
        <f t="shared" si="12"/>
        <v>64</v>
      </c>
      <c r="C82" s="110" t="s">
        <v>671</v>
      </c>
      <c r="D82" s="99" t="s">
        <v>28</v>
      </c>
      <c r="E82" s="140">
        <v>44579</v>
      </c>
      <c r="F82" s="268" t="s">
        <v>4431</v>
      </c>
      <c r="G82" s="96" t="s">
        <v>672</v>
      </c>
      <c r="H82" s="96" t="s">
        <v>673</v>
      </c>
      <c r="I82" s="96" t="s">
        <v>146</v>
      </c>
      <c r="J82" s="133" t="s">
        <v>674</v>
      </c>
      <c r="K82" s="341">
        <v>363128044</v>
      </c>
      <c r="L82" s="96" t="s">
        <v>670</v>
      </c>
      <c r="M82" s="99" t="s">
        <v>675</v>
      </c>
      <c r="N82" s="99"/>
      <c r="O82" s="99">
        <v>202201918</v>
      </c>
      <c r="P82" s="165">
        <v>365000000</v>
      </c>
      <c r="Q82" s="99" t="s">
        <v>146</v>
      </c>
      <c r="R82" s="99" t="s">
        <v>146</v>
      </c>
      <c r="S82" s="99"/>
      <c r="T82" s="111" t="s">
        <v>43</v>
      </c>
      <c r="U82" s="96" t="s">
        <v>213</v>
      </c>
      <c r="V82" s="97">
        <v>44581</v>
      </c>
      <c r="W82" s="166"/>
      <c r="X82" s="166"/>
      <c r="Y82" s="99"/>
      <c r="Z82" s="96" t="s">
        <v>168</v>
      </c>
      <c r="AA82" s="99" t="s">
        <v>169</v>
      </c>
      <c r="AB82" s="96" t="s">
        <v>676</v>
      </c>
      <c r="AC82" s="96"/>
      <c r="AD82" s="97">
        <v>44600</v>
      </c>
      <c r="AE82" s="362" t="s">
        <v>4431</v>
      </c>
      <c r="AF82" s="98"/>
      <c r="AG82" s="166">
        <f t="shared" si="26"/>
        <v>21</v>
      </c>
      <c r="AH82" s="166">
        <f t="shared" si="27"/>
        <v>19</v>
      </c>
      <c r="AI82" s="99" t="s">
        <v>258</v>
      </c>
      <c r="AJ82" s="96" t="s">
        <v>155</v>
      </c>
      <c r="AK82" s="99" t="s">
        <v>1079</v>
      </c>
      <c r="AL82" s="97">
        <v>44588</v>
      </c>
      <c r="AM82" s="214">
        <v>362715477</v>
      </c>
      <c r="AN82" s="96" t="s">
        <v>1080</v>
      </c>
      <c r="AO82" s="96"/>
      <c r="AP82" s="181">
        <f t="shared" si="30"/>
        <v>412567</v>
      </c>
      <c r="AQ82" s="138"/>
      <c r="AR82" s="138"/>
      <c r="AS82" s="99" t="s">
        <v>146</v>
      </c>
      <c r="AT82" s="99" t="s">
        <v>146</v>
      </c>
      <c r="AU82" s="138"/>
      <c r="AV82" s="99" t="s">
        <v>174</v>
      </c>
      <c r="AW82" s="99" t="s">
        <v>174</v>
      </c>
      <c r="AX82" s="99"/>
      <c r="AY82" s="167">
        <f t="shared" si="31"/>
        <v>1.1361474466565849E-3</v>
      </c>
      <c r="AZ82" s="139">
        <f t="shared" si="13"/>
        <v>1</v>
      </c>
      <c r="BA82" s="139">
        <f t="shared" si="32"/>
        <v>1</v>
      </c>
      <c r="BB82" s="132">
        <f>IF(AA82="CONTRATADO",IF(BA82=1,NETWORKDAYS.INTL(E82,AD82,1,[1]FESTIVOS!$B$3:$B$10)-1,AD82-E82))-BD82</f>
        <v>15</v>
      </c>
      <c r="BC82" s="157"/>
      <c r="BD82" s="162">
        <v>0</v>
      </c>
      <c r="BE82" s="382" t="s">
        <v>2052</v>
      </c>
    </row>
    <row r="83" spans="2:58" ht="43.9" customHeight="1" x14ac:dyDescent="0.25">
      <c r="B83" s="100">
        <f t="shared" si="12"/>
        <v>65</v>
      </c>
      <c r="C83" s="110" t="s">
        <v>677</v>
      </c>
      <c r="D83" s="99" t="s">
        <v>28</v>
      </c>
      <c r="E83" s="140">
        <v>44579</v>
      </c>
      <c r="F83" s="268" t="s">
        <v>4431</v>
      </c>
      <c r="G83" s="96" t="s">
        <v>678</v>
      </c>
      <c r="H83" s="96" t="s">
        <v>679</v>
      </c>
      <c r="I83" s="96" t="s">
        <v>146</v>
      </c>
      <c r="J83" s="133" t="s">
        <v>680</v>
      </c>
      <c r="K83" s="341">
        <v>490449035</v>
      </c>
      <c r="L83" s="96" t="s">
        <v>670</v>
      </c>
      <c r="M83" s="99" t="s">
        <v>681</v>
      </c>
      <c r="N83" s="99"/>
      <c r="O83" s="99">
        <v>202201917</v>
      </c>
      <c r="P83" s="165">
        <v>495000000</v>
      </c>
      <c r="Q83" s="99" t="s">
        <v>146</v>
      </c>
      <c r="R83" s="99" t="s">
        <v>146</v>
      </c>
      <c r="S83" s="99"/>
      <c r="T83" s="111" t="s">
        <v>43</v>
      </c>
      <c r="U83" s="96" t="s">
        <v>187</v>
      </c>
      <c r="V83" s="97">
        <v>44581</v>
      </c>
      <c r="W83" s="166"/>
      <c r="X83" s="166"/>
      <c r="Y83" s="99"/>
      <c r="Z83" s="96" t="s">
        <v>168</v>
      </c>
      <c r="AA83" s="99" t="s">
        <v>169</v>
      </c>
      <c r="AB83" s="96" t="s">
        <v>682</v>
      </c>
      <c r="AC83" s="96"/>
      <c r="AD83" s="97">
        <v>44595</v>
      </c>
      <c r="AE83" s="362" t="s">
        <v>4431</v>
      </c>
      <c r="AF83" s="98"/>
      <c r="AG83" s="166">
        <f t="shared" ref="AG83:AG114" si="33">+AD83-E83</f>
        <v>16</v>
      </c>
      <c r="AH83" s="166">
        <f t="shared" ref="AH83:AH114" si="34">+AD83-V83</f>
        <v>14</v>
      </c>
      <c r="AI83" s="99" t="s">
        <v>258</v>
      </c>
      <c r="AJ83" s="96" t="s">
        <v>155</v>
      </c>
      <c r="AK83" s="99" t="s">
        <v>1081</v>
      </c>
      <c r="AL83" s="97">
        <v>44588</v>
      </c>
      <c r="AM83" s="214">
        <v>490449033</v>
      </c>
      <c r="AN83" s="96" t="s">
        <v>1082</v>
      </c>
      <c r="AO83" s="96"/>
      <c r="AP83" s="181">
        <f t="shared" si="30"/>
        <v>2</v>
      </c>
      <c r="AQ83" s="138"/>
      <c r="AR83" s="138"/>
      <c r="AS83" s="99" t="s">
        <v>146</v>
      </c>
      <c r="AT83" s="99" t="s">
        <v>146</v>
      </c>
      <c r="AU83" s="138"/>
      <c r="AV83" s="99" t="s">
        <v>174</v>
      </c>
      <c r="AW83" s="99" t="s">
        <v>175</v>
      </c>
      <c r="AX83" s="99"/>
      <c r="AY83" s="167">
        <f t="shared" si="31"/>
        <v>4.0778956777843392E-9</v>
      </c>
      <c r="AZ83" s="139">
        <f t="shared" si="13"/>
        <v>1</v>
      </c>
      <c r="BA83" s="139">
        <f t="shared" si="32"/>
        <v>1</v>
      </c>
      <c r="BB83" s="132">
        <f>IF(AA83="CONTRATADO",IF(BA83=1,NETWORKDAYS.INTL(E83,AD83,1,[1]FESTIVOS!$B$3:$B$10)-1,AD83-E83))-BD83</f>
        <v>12</v>
      </c>
      <c r="BC83" s="157"/>
      <c r="BD83" s="162">
        <v>0</v>
      </c>
      <c r="BE83" s="382" t="s">
        <v>2052</v>
      </c>
    </row>
    <row r="84" spans="2:58" ht="43.9" customHeight="1" x14ac:dyDescent="0.25">
      <c r="B84" s="100">
        <f t="shared" ref="B84:B147" si="35">+B83+1</f>
        <v>66</v>
      </c>
      <c r="C84" s="110" t="s">
        <v>683</v>
      </c>
      <c r="D84" s="99" t="s">
        <v>28</v>
      </c>
      <c r="E84" s="140">
        <v>44579</v>
      </c>
      <c r="F84" s="268" t="s">
        <v>4431</v>
      </c>
      <c r="G84" s="96" t="s">
        <v>684</v>
      </c>
      <c r="H84" s="96" t="s">
        <v>685</v>
      </c>
      <c r="I84" s="96" t="s">
        <v>146</v>
      </c>
      <c r="J84" s="133" t="s">
        <v>686</v>
      </c>
      <c r="K84" s="341">
        <v>304533212</v>
      </c>
      <c r="L84" s="96" t="s">
        <v>670</v>
      </c>
      <c r="M84" s="99" t="s">
        <v>687</v>
      </c>
      <c r="N84" s="99"/>
      <c r="O84" s="99">
        <v>202201927</v>
      </c>
      <c r="P84" s="165">
        <v>310000000</v>
      </c>
      <c r="Q84" s="99" t="s">
        <v>146</v>
      </c>
      <c r="R84" s="99" t="s">
        <v>146</v>
      </c>
      <c r="S84" s="99"/>
      <c r="T84" s="111" t="s">
        <v>43</v>
      </c>
      <c r="U84" s="96" t="s">
        <v>213</v>
      </c>
      <c r="V84" s="97">
        <v>44581</v>
      </c>
      <c r="W84" s="166"/>
      <c r="X84" s="166"/>
      <c r="Y84" s="99"/>
      <c r="Z84" s="96" t="s">
        <v>168</v>
      </c>
      <c r="AA84" s="99" t="s">
        <v>169</v>
      </c>
      <c r="AB84" s="96" t="s">
        <v>688</v>
      </c>
      <c r="AC84" s="96"/>
      <c r="AD84" s="97">
        <v>44593</v>
      </c>
      <c r="AE84" s="362" t="s">
        <v>4431</v>
      </c>
      <c r="AF84" s="98"/>
      <c r="AG84" s="166">
        <f t="shared" si="33"/>
        <v>14</v>
      </c>
      <c r="AH84" s="166">
        <f t="shared" si="34"/>
        <v>12</v>
      </c>
      <c r="AI84" s="99" t="s">
        <v>258</v>
      </c>
      <c r="AJ84" s="96" t="s">
        <v>155</v>
      </c>
      <c r="AK84" s="99" t="s">
        <v>689</v>
      </c>
      <c r="AL84" s="97">
        <v>44588</v>
      </c>
      <c r="AM84" s="214">
        <v>304164327</v>
      </c>
      <c r="AN84" s="96" t="s">
        <v>690</v>
      </c>
      <c r="AO84" s="96"/>
      <c r="AP84" s="181">
        <f t="shared" si="30"/>
        <v>368885</v>
      </c>
      <c r="AQ84" s="138"/>
      <c r="AR84" s="138"/>
      <c r="AS84" s="99" t="s">
        <v>146</v>
      </c>
      <c r="AT84" s="99" t="s">
        <v>146</v>
      </c>
      <c r="AU84" s="138"/>
      <c r="AV84" s="99" t="s">
        <v>691</v>
      </c>
      <c r="AW84" s="99" t="s">
        <v>692</v>
      </c>
      <c r="AX84" s="99"/>
      <c r="AY84" s="167">
        <f t="shared" si="31"/>
        <v>1.2113128731588067E-3</v>
      </c>
      <c r="AZ84" s="139">
        <f t="shared" si="13"/>
        <v>1</v>
      </c>
      <c r="BA84" s="139">
        <f t="shared" si="32"/>
        <v>1</v>
      </c>
      <c r="BB84" s="132">
        <f>IF(AA84="CONTRATADO",IF(BA84=1,NETWORKDAYS.INTL(E84,AD84,1,[1]FESTIVOS!$B$3:$B$10)-1,AD84-E84))-BD84</f>
        <v>10</v>
      </c>
      <c r="BC84" s="157"/>
      <c r="BD84" s="162">
        <v>0</v>
      </c>
      <c r="BE84" s="382" t="s">
        <v>2052</v>
      </c>
    </row>
    <row r="85" spans="2:58" ht="43.9" customHeight="1" x14ac:dyDescent="0.25">
      <c r="B85" s="100">
        <f t="shared" si="35"/>
        <v>67</v>
      </c>
      <c r="C85" s="110" t="s">
        <v>693</v>
      </c>
      <c r="D85" s="99" t="s">
        <v>28</v>
      </c>
      <c r="E85" s="140">
        <v>44579</v>
      </c>
      <c r="F85" s="268" t="s">
        <v>4431</v>
      </c>
      <c r="G85" s="96" t="s">
        <v>694</v>
      </c>
      <c r="H85" s="96" t="s">
        <v>695</v>
      </c>
      <c r="I85" s="96" t="s">
        <v>146</v>
      </c>
      <c r="J85" s="133" t="s">
        <v>696</v>
      </c>
      <c r="K85" s="341">
        <v>496893604</v>
      </c>
      <c r="L85" s="96" t="s">
        <v>670</v>
      </c>
      <c r="M85" s="99" t="s">
        <v>697</v>
      </c>
      <c r="N85" s="99"/>
      <c r="O85" s="99">
        <v>202201921</v>
      </c>
      <c r="P85" s="165">
        <v>500000000</v>
      </c>
      <c r="Q85" s="99" t="s">
        <v>146</v>
      </c>
      <c r="R85" s="99" t="s">
        <v>146</v>
      </c>
      <c r="S85" s="99"/>
      <c r="T85" s="111" t="s">
        <v>43</v>
      </c>
      <c r="U85" s="96" t="s">
        <v>187</v>
      </c>
      <c r="V85" s="97">
        <v>44581</v>
      </c>
      <c r="W85" s="166"/>
      <c r="X85" s="166"/>
      <c r="Y85" s="99"/>
      <c r="Z85" s="96" t="s">
        <v>168</v>
      </c>
      <c r="AA85" s="99" t="s">
        <v>169</v>
      </c>
      <c r="AB85" s="96" t="s">
        <v>698</v>
      </c>
      <c r="AC85" s="96"/>
      <c r="AD85" s="97">
        <v>44595</v>
      </c>
      <c r="AE85" s="362" t="s">
        <v>4431</v>
      </c>
      <c r="AF85" s="98"/>
      <c r="AG85" s="166">
        <f t="shared" si="33"/>
        <v>16</v>
      </c>
      <c r="AH85" s="166">
        <f t="shared" si="34"/>
        <v>14</v>
      </c>
      <c r="AI85" s="99" t="s">
        <v>258</v>
      </c>
      <c r="AJ85" s="96" t="s">
        <v>155</v>
      </c>
      <c r="AK85" s="99" t="s">
        <v>1083</v>
      </c>
      <c r="AL85" s="97">
        <v>44588</v>
      </c>
      <c r="AM85" s="214">
        <v>496741956</v>
      </c>
      <c r="AN85" s="96" t="s">
        <v>1084</v>
      </c>
      <c r="AO85" s="96"/>
      <c r="AP85" s="181">
        <f t="shared" si="30"/>
        <v>151648</v>
      </c>
      <c r="AQ85" s="138"/>
      <c r="AR85" s="138"/>
      <c r="AS85" s="99" t="s">
        <v>146</v>
      </c>
      <c r="AT85" s="99" t="s">
        <v>146</v>
      </c>
      <c r="AU85" s="138"/>
      <c r="AV85" s="99" t="s">
        <v>174</v>
      </c>
      <c r="AW85" s="99" t="s">
        <v>175</v>
      </c>
      <c r="AX85" s="99"/>
      <c r="AY85" s="167">
        <f t="shared" si="31"/>
        <v>3.0519209500631849E-4</v>
      </c>
      <c r="AZ85" s="139">
        <f t="shared" si="13"/>
        <v>1</v>
      </c>
      <c r="BA85" s="139">
        <f t="shared" si="32"/>
        <v>1</v>
      </c>
      <c r="BB85" s="132">
        <f>IF(AA85="CONTRATADO",IF(BA85=1,NETWORKDAYS.INTL(E85,AD85,1,[1]FESTIVOS!$B$3:$B$10)-1,AD85-E85))-BD85</f>
        <v>12</v>
      </c>
      <c r="BC85" s="157"/>
      <c r="BD85" s="162">
        <v>0</v>
      </c>
      <c r="BE85" s="382" t="s">
        <v>2052</v>
      </c>
    </row>
    <row r="86" spans="2:58" ht="43.9" customHeight="1" x14ac:dyDescent="0.25">
      <c r="B86" s="100">
        <f t="shared" si="35"/>
        <v>68</v>
      </c>
      <c r="C86" s="110" t="s">
        <v>699</v>
      </c>
      <c r="D86" s="99" t="s">
        <v>28</v>
      </c>
      <c r="E86" s="140">
        <v>44579</v>
      </c>
      <c r="F86" s="268" t="s">
        <v>4431</v>
      </c>
      <c r="G86" s="96" t="s">
        <v>700</v>
      </c>
      <c r="H86" s="96" t="s">
        <v>701</v>
      </c>
      <c r="I86" s="96" t="s">
        <v>146</v>
      </c>
      <c r="J86" s="133" t="s">
        <v>702</v>
      </c>
      <c r="K86" s="341">
        <v>453531324</v>
      </c>
      <c r="L86" s="96" t="s">
        <v>670</v>
      </c>
      <c r="M86" s="99" t="s">
        <v>703</v>
      </c>
      <c r="N86" s="99"/>
      <c r="O86" s="99">
        <v>202201919</v>
      </c>
      <c r="P86" s="165">
        <v>455000000</v>
      </c>
      <c r="Q86" s="99" t="s">
        <v>146</v>
      </c>
      <c r="R86" s="99" t="s">
        <v>146</v>
      </c>
      <c r="S86" s="99"/>
      <c r="T86" s="111" t="s">
        <v>43</v>
      </c>
      <c r="U86" s="96" t="s">
        <v>187</v>
      </c>
      <c r="V86" s="97">
        <v>44581</v>
      </c>
      <c r="W86" s="166"/>
      <c r="X86" s="166"/>
      <c r="Y86" s="99"/>
      <c r="Z86" s="96" t="s">
        <v>168</v>
      </c>
      <c r="AA86" s="99" t="s">
        <v>169</v>
      </c>
      <c r="AB86" s="96" t="s">
        <v>704</v>
      </c>
      <c r="AC86" s="96"/>
      <c r="AD86" s="97">
        <v>44608</v>
      </c>
      <c r="AE86" s="362" t="s">
        <v>4431</v>
      </c>
      <c r="AF86" s="98"/>
      <c r="AG86" s="166">
        <f t="shared" si="33"/>
        <v>29</v>
      </c>
      <c r="AH86" s="166">
        <f t="shared" si="34"/>
        <v>27</v>
      </c>
      <c r="AI86" s="99" t="s">
        <v>258</v>
      </c>
      <c r="AJ86" s="96" t="s">
        <v>155</v>
      </c>
      <c r="AK86" s="99" t="s">
        <v>1085</v>
      </c>
      <c r="AL86" s="97">
        <v>44588</v>
      </c>
      <c r="AM86" s="214">
        <v>453531324</v>
      </c>
      <c r="AN86" s="96" t="s">
        <v>1086</v>
      </c>
      <c r="AO86" s="96"/>
      <c r="AP86" s="181">
        <f t="shared" si="30"/>
        <v>0</v>
      </c>
      <c r="AQ86" s="138"/>
      <c r="AR86" s="138"/>
      <c r="AS86" s="99" t="s">
        <v>146</v>
      </c>
      <c r="AT86" s="99" t="s">
        <v>146</v>
      </c>
      <c r="AU86" s="138"/>
      <c r="AV86" s="99" t="s">
        <v>1126</v>
      </c>
      <c r="AW86" s="99" t="s">
        <v>692</v>
      </c>
      <c r="AX86" s="99"/>
      <c r="AY86" s="167">
        <f t="shared" si="31"/>
        <v>0</v>
      </c>
      <c r="AZ86" s="139">
        <f t="shared" ref="AZ86:AZ149" si="36">IF(D86="GUENAA",1,IF(D86="GUENE",1,IF(D86="GUENT",1,0)))</f>
        <v>1</v>
      </c>
      <c r="BA86" s="139">
        <f t="shared" si="32"/>
        <v>1</v>
      </c>
      <c r="BB86" s="132">
        <f>IF(AA86="CONTRATADO",IF(BA86=1,NETWORKDAYS.INTL(E86,AD86,1,[1]FESTIVOS!$B$3:$B$10)-1,AD86-E86))-BD86</f>
        <v>21</v>
      </c>
      <c r="BC86" s="157"/>
      <c r="BD86" s="162">
        <v>0</v>
      </c>
      <c r="BE86" s="382" t="s">
        <v>2052</v>
      </c>
    </row>
    <row r="87" spans="2:58" ht="43.9" customHeight="1" x14ac:dyDescent="0.25">
      <c r="B87" s="100">
        <f t="shared" si="35"/>
        <v>69</v>
      </c>
      <c r="C87" s="110" t="s">
        <v>705</v>
      </c>
      <c r="D87" s="99" t="s">
        <v>28</v>
      </c>
      <c r="E87" s="140">
        <v>44579</v>
      </c>
      <c r="F87" s="268" t="s">
        <v>4431</v>
      </c>
      <c r="G87" s="96" t="s">
        <v>706</v>
      </c>
      <c r="H87" s="96" t="s">
        <v>707</v>
      </c>
      <c r="I87" s="96" t="s">
        <v>146</v>
      </c>
      <c r="J87" s="133" t="s">
        <v>708</v>
      </c>
      <c r="K87" s="341">
        <v>285432098</v>
      </c>
      <c r="L87" s="96" t="s">
        <v>670</v>
      </c>
      <c r="M87" s="96" t="s">
        <v>1087</v>
      </c>
      <c r="N87" s="96"/>
      <c r="O87" s="99">
        <v>202201923</v>
      </c>
      <c r="P87" s="165">
        <v>290000000</v>
      </c>
      <c r="Q87" s="99" t="s">
        <v>146</v>
      </c>
      <c r="R87" s="99" t="s">
        <v>146</v>
      </c>
      <c r="S87" s="99"/>
      <c r="T87" s="111" t="s">
        <v>43</v>
      </c>
      <c r="U87" s="96" t="s">
        <v>161</v>
      </c>
      <c r="V87" s="97">
        <v>44581</v>
      </c>
      <c r="W87" s="166"/>
      <c r="X87" s="166"/>
      <c r="Y87" s="99"/>
      <c r="Z87" s="96" t="s">
        <v>168</v>
      </c>
      <c r="AA87" s="99" t="s">
        <v>169</v>
      </c>
      <c r="AB87" s="96" t="s">
        <v>709</v>
      </c>
      <c r="AC87" s="96"/>
      <c r="AD87" s="97">
        <v>44596</v>
      </c>
      <c r="AE87" s="362" t="s">
        <v>4431</v>
      </c>
      <c r="AF87" s="98"/>
      <c r="AG87" s="166">
        <f t="shared" si="33"/>
        <v>17</v>
      </c>
      <c r="AH87" s="166">
        <f t="shared" si="34"/>
        <v>15</v>
      </c>
      <c r="AI87" s="99" t="s">
        <v>258</v>
      </c>
      <c r="AJ87" s="96" t="s">
        <v>155</v>
      </c>
      <c r="AK87" s="99" t="s">
        <v>1088</v>
      </c>
      <c r="AL87" s="97">
        <v>44588</v>
      </c>
      <c r="AM87" s="214">
        <v>279679505</v>
      </c>
      <c r="AN87" s="96" t="s">
        <v>1089</v>
      </c>
      <c r="AO87" s="96"/>
      <c r="AP87" s="181">
        <f t="shared" si="30"/>
        <v>5752593</v>
      </c>
      <c r="AQ87" s="138"/>
      <c r="AR87" s="138"/>
      <c r="AS87" s="99" t="s">
        <v>146</v>
      </c>
      <c r="AT87" s="99" t="s">
        <v>146</v>
      </c>
      <c r="AU87" s="138"/>
      <c r="AV87" s="99" t="s">
        <v>1125</v>
      </c>
      <c r="AW87" s="99" t="s">
        <v>1123</v>
      </c>
      <c r="AX87" s="99"/>
      <c r="AY87" s="167">
        <f t="shared" si="31"/>
        <v>2.0153980720136109E-2</v>
      </c>
      <c r="AZ87" s="139">
        <f t="shared" si="36"/>
        <v>1</v>
      </c>
      <c r="BA87" s="139">
        <f t="shared" si="32"/>
        <v>1</v>
      </c>
      <c r="BB87" s="132">
        <f>IF(AA87="CONTRATADO",IF(BA87=1,NETWORKDAYS.INTL(E87,AD87,1,[1]FESTIVOS!$B$3:$B$10)-1,AD87-E87))-BD87</f>
        <v>13</v>
      </c>
      <c r="BC87" s="157"/>
      <c r="BD87" s="162">
        <v>0</v>
      </c>
      <c r="BE87" s="382" t="s">
        <v>2052</v>
      </c>
    </row>
    <row r="88" spans="2:58" ht="43.9" customHeight="1" x14ac:dyDescent="0.25">
      <c r="B88" s="100">
        <f t="shared" si="35"/>
        <v>70</v>
      </c>
      <c r="C88" s="110" t="s">
        <v>710</v>
      </c>
      <c r="D88" s="99" t="s">
        <v>28</v>
      </c>
      <c r="E88" s="140">
        <v>44579</v>
      </c>
      <c r="F88" s="268" t="s">
        <v>4431</v>
      </c>
      <c r="G88" s="96" t="s">
        <v>711</v>
      </c>
      <c r="H88" s="96" t="s">
        <v>712</v>
      </c>
      <c r="I88" s="96" t="s">
        <v>146</v>
      </c>
      <c r="J88" s="133" t="s">
        <v>713</v>
      </c>
      <c r="K88" s="341">
        <v>488005726</v>
      </c>
      <c r="L88" s="96" t="s">
        <v>670</v>
      </c>
      <c r="M88" s="99" t="s">
        <v>714</v>
      </c>
      <c r="N88" s="99"/>
      <c r="O88" s="99">
        <v>202201925</v>
      </c>
      <c r="P88" s="165">
        <v>495000000</v>
      </c>
      <c r="Q88" s="99" t="s">
        <v>146</v>
      </c>
      <c r="R88" s="99" t="s">
        <v>146</v>
      </c>
      <c r="S88" s="99"/>
      <c r="T88" s="111" t="s">
        <v>43</v>
      </c>
      <c r="U88" s="96" t="s">
        <v>213</v>
      </c>
      <c r="V88" s="97">
        <v>44581</v>
      </c>
      <c r="W88" s="166"/>
      <c r="X88" s="166"/>
      <c r="Y88" s="99"/>
      <c r="Z88" s="96" t="s">
        <v>168</v>
      </c>
      <c r="AA88" s="99" t="s">
        <v>169</v>
      </c>
      <c r="AB88" s="96" t="s">
        <v>1090</v>
      </c>
      <c r="AC88" s="96"/>
      <c r="AD88" s="97">
        <v>44594</v>
      </c>
      <c r="AE88" s="362" t="s">
        <v>4431</v>
      </c>
      <c r="AF88" s="98"/>
      <c r="AG88" s="166">
        <f t="shared" si="33"/>
        <v>15</v>
      </c>
      <c r="AH88" s="166">
        <f t="shared" si="34"/>
        <v>13</v>
      </c>
      <c r="AI88" s="99" t="s">
        <v>258</v>
      </c>
      <c r="AJ88" s="96" t="s">
        <v>155</v>
      </c>
      <c r="AK88" s="99" t="s">
        <v>1091</v>
      </c>
      <c r="AL88" s="97">
        <v>44588</v>
      </c>
      <c r="AM88" s="214">
        <v>487965113</v>
      </c>
      <c r="AN88" s="96" t="s">
        <v>1092</v>
      </c>
      <c r="AO88" s="96"/>
      <c r="AP88" s="181">
        <f t="shared" si="30"/>
        <v>40613</v>
      </c>
      <c r="AQ88" s="138"/>
      <c r="AR88" s="138"/>
      <c r="AS88" s="99" t="s">
        <v>146</v>
      </c>
      <c r="AT88" s="99" t="s">
        <v>146</v>
      </c>
      <c r="AU88" s="138"/>
      <c r="AV88" s="99" t="s">
        <v>174</v>
      </c>
      <c r="AW88" s="99" t="s">
        <v>175</v>
      </c>
      <c r="AX88" s="99"/>
      <c r="AY88" s="167">
        <f t="shared" si="31"/>
        <v>8.3222384157025239E-5</v>
      </c>
      <c r="AZ88" s="139">
        <f t="shared" si="36"/>
        <v>1</v>
      </c>
      <c r="BA88" s="139">
        <f t="shared" si="32"/>
        <v>1</v>
      </c>
      <c r="BB88" s="132">
        <f>IF(AA88="CONTRATADO",IF(BA88=1,NETWORKDAYS.INTL(E88,AD88,1,[1]FESTIVOS!$B$3:$B$10)-1,AD88-E88))-BD88</f>
        <v>11</v>
      </c>
      <c r="BC88" s="157"/>
      <c r="BD88" s="162">
        <v>0</v>
      </c>
      <c r="BE88" s="382" t="s">
        <v>2052</v>
      </c>
    </row>
    <row r="89" spans="2:58" ht="43.9" customHeight="1" x14ac:dyDescent="0.25">
      <c r="B89" s="100">
        <f t="shared" si="35"/>
        <v>71</v>
      </c>
      <c r="C89" s="110" t="s">
        <v>715</v>
      </c>
      <c r="D89" s="99" t="s">
        <v>28</v>
      </c>
      <c r="E89" s="140">
        <v>44579</v>
      </c>
      <c r="F89" s="268" t="s">
        <v>4431</v>
      </c>
      <c r="G89" s="96" t="s">
        <v>716</v>
      </c>
      <c r="H89" s="96" t="s">
        <v>717</v>
      </c>
      <c r="I89" s="96" t="s">
        <v>146</v>
      </c>
      <c r="J89" s="133" t="s">
        <v>718</v>
      </c>
      <c r="K89" s="341">
        <v>347380623</v>
      </c>
      <c r="L89" s="96" t="s">
        <v>670</v>
      </c>
      <c r="M89" s="99" t="s">
        <v>719</v>
      </c>
      <c r="N89" s="99"/>
      <c r="O89" s="99">
        <v>202201922</v>
      </c>
      <c r="P89" s="165"/>
      <c r="Q89" s="99" t="s">
        <v>146</v>
      </c>
      <c r="R89" s="99" t="s">
        <v>146</v>
      </c>
      <c r="S89" s="99"/>
      <c r="T89" s="111" t="s">
        <v>43</v>
      </c>
      <c r="U89" s="96" t="s">
        <v>213</v>
      </c>
      <c r="V89" s="97">
        <v>44581</v>
      </c>
      <c r="W89" s="166"/>
      <c r="X89" s="166"/>
      <c r="Y89" s="99"/>
      <c r="Z89" s="96" t="s">
        <v>168</v>
      </c>
      <c r="AA89" s="99" t="s">
        <v>169</v>
      </c>
      <c r="AB89" s="96" t="s">
        <v>676</v>
      </c>
      <c r="AC89" s="96"/>
      <c r="AD89" s="97">
        <v>44599</v>
      </c>
      <c r="AE89" s="362" t="s">
        <v>4431</v>
      </c>
      <c r="AF89" s="98"/>
      <c r="AG89" s="166">
        <f t="shared" si="33"/>
        <v>20</v>
      </c>
      <c r="AH89" s="166">
        <f t="shared" si="34"/>
        <v>18</v>
      </c>
      <c r="AI89" s="99" t="s">
        <v>258</v>
      </c>
      <c r="AJ89" s="96" t="s">
        <v>155</v>
      </c>
      <c r="AK89" s="99" t="s">
        <v>1093</v>
      </c>
      <c r="AL89" s="97">
        <v>44588</v>
      </c>
      <c r="AM89" s="214">
        <v>346499915</v>
      </c>
      <c r="AN89" s="96" t="s">
        <v>1094</v>
      </c>
      <c r="AO89" s="96"/>
      <c r="AP89" s="181">
        <f t="shared" si="30"/>
        <v>880708</v>
      </c>
      <c r="AQ89" s="138"/>
      <c r="AR89" s="138"/>
      <c r="AS89" s="99" t="s">
        <v>146</v>
      </c>
      <c r="AT89" s="99" t="s">
        <v>146</v>
      </c>
      <c r="AU89" s="138"/>
      <c r="AV89" s="99" t="s">
        <v>174</v>
      </c>
      <c r="AW89" s="99" t="s">
        <v>175</v>
      </c>
      <c r="AX89" s="99"/>
      <c r="AY89" s="167">
        <f t="shared" si="31"/>
        <v>2.5352824587455474E-3</v>
      </c>
      <c r="AZ89" s="139">
        <f t="shared" si="36"/>
        <v>1</v>
      </c>
      <c r="BA89" s="139">
        <f t="shared" si="32"/>
        <v>1</v>
      </c>
      <c r="BB89" s="132">
        <f>IF(AA89="CONTRATADO",IF(BA89=1,NETWORKDAYS.INTL(E89,AD89,1,[1]FESTIVOS!$B$3:$B$10)-1,AD89-E89))-BD89</f>
        <v>14</v>
      </c>
      <c r="BC89" s="157"/>
      <c r="BD89" s="162">
        <v>0</v>
      </c>
      <c r="BE89" s="382" t="s">
        <v>2052</v>
      </c>
    </row>
    <row r="90" spans="2:58" ht="43.9" customHeight="1" x14ac:dyDescent="0.25">
      <c r="B90" s="100">
        <f t="shared" si="35"/>
        <v>72</v>
      </c>
      <c r="C90" s="110" t="s">
        <v>720</v>
      </c>
      <c r="D90" s="99" t="s">
        <v>28</v>
      </c>
      <c r="E90" s="140">
        <v>44581</v>
      </c>
      <c r="F90" s="268" t="s">
        <v>4431</v>
      </c>
      <c r="G90" s="96" t="s">
        <v>721</v>
      </c>
      <c r="H90" s="96" t="s">
        <v>722</v>
      </c>
      <c r="I90" s="96" t="s">
        <v>146</v>
      </c>
      <c r="J90" s="133" t="s">
        <v>723</v>
      </c>
      <c r="K90" s="341">
        <v>244088221</v>
      </c>
      <c r="L90" s="96" t="s">
        <v>670</v>
      </c>
      <c r="M90" s="99" t="s">
        <v>724</v>
      </c>
      <c r="N90" s="99"/>
      <c r="O90" s="99">
        <v>202201933</v>
      </c>
      <c r="P90" s="165"/>
      <c r="Q90" s="99" t="s">
        <v>146</v>
      </c>
      <c r="R90" s="99" t="s">
        <v>146</v>
      </c>
      <c r="S90" s="99"/>
      <c r="T90" s="111" t="s">
        <v>43</v>
      </c>
      <c r="U90" s="96" t="s">
        <v>187</v>
      </c>
      <c r="V90" s="97">
        <v>44581</v>
      </c>
      <c r="W90" s="166"/>
      <c r="X90" s="166"/>
      <c r="Y90" s="99"/>
      <c r="Z90" s="96" t="s">
        <v>168</v>
      </c>
      <c r="AA90" s="99" t="s">
        <v>169</v>
      </c>
      <c r="AB90" s="96" t="s">
        <v>725</v>
      </c>
      <c r="AC90" s="96"/>
      <c r="AD90" s="97">
        <v>44595</v>
      </c>
      <c r="AE90" s="362" t="s">
        <v>4431</v>
      </c>
      <c r="AF90" s="98"/>
      <c r="AG90" s="166">
        <f t="shared" si="33"/>
        <v>14</v>
      </c>
      <c r="AH90" s="166">
        <f t="shared" si="34"/>
        <v>14</v>
      </c>
      <c r="AI90" s="99" t="s">
        <v>258</v>
      </c>
      <c r="AJ90" s="96" t="s">
        <v>155</v>
      </c>
      <c r="AK90" s="99" t="s">
        <v>1095</v>
      </c>
      <c r="AL90" s="97">
        <v>44588</v>
      </c>
      <c r="AM90" s="214">
        <v>243854800</v>
      </c>
      <c r="AN90" s="96" t="s">
        <v>1096</v>
      </c>
      <c r="AO90" s="96"/>
      <c r="AP90" s="181">
        <f t="shared" si="30"/>
        <v>233421</v>
      </c>
      <c r="AQ90" s="138"/>
      <c r="AR90" s="138"/>
      <c r="AS90" s="99" t="s">
        <v>146</v>
      </c>
      <c r="AT90" s="99" t="s">
        <v>146</v>
      </c>
      <c r="AU90" s="138"/>
      <c r="AV90" s="99" t="s">
        <v>174</v>
      </c>
      <c r="AW90" s="99" t="s">
        <v>175</v>
      </c>
      <c r="AX90" s="99"/>
      <c r="AY90" s="167">
        <f t="shared" si="31"/>
        <v>9.5629768222203564E-4</v>
      </c>
      <c r="AZ90" s="139">
        <f t="shared" si="36"/>
        <v>1</v>
      </c>
      <c r="BA90" s="139">
        <f t="shared" si="32"/>
        <v>1</v>
      </c>
      <c r="BB90" s="132">
        <f>IF(AA90="CONTRATADO",IF(BA90=1,NETWORKDAYS.INTL(E90,AD90,1,[1]FESTIVOS!$B$3:$B$10)-1,AD90-E90))-BD90</f>
        <v>10</v>
      </c>
      <c r="BC90" s="157"/>
      <c r="BD90" s="162">
        <v>0</v>
      </c>
      <c r="BE90" s="382" t="s">
        <v>2052</v>
      </c>
    </row>
    <row r="91" spans="2:58" ht="43.9" customHeight="1" x14ac:dyDescent="0.25">
      <c r="B91" s="100">
        <f t="shared" si="35"/>
        <v>73</v>
      </c>
      <c r="C91" s="110" t="s">
        <v>726</v>
      </c>
      <c r="D91" s="99" t="s">
        <v>28</v>
      </c>
      <c r="E91" s="140">
        <v>44581</v>
      </c>
      <c r="F91" s="268" t="s">
        <v>4431</v>
      </c>
      <c r="G91" s="96" t="s">
        <v>727</v>
      </c>
      <c r="H91" s="96" t="s">
        <v>728</v>
      </c>
      <c r="I91" s="96" t="s">
        <v>146</v>
      </c>
      <c r="J91" s="133" t="s">
        <v>729</v>
      </c>
      <c r="K91" s="341">
        <v>55499999</v>
      </c>
      <c r="L91" s="96" t="s">
        <v>670</v>
      </c>
      <c r="M91" s="99" t="s">
        <v>730</v>
      </c>
      <c r="N91" s="99"/>
      <c r="O91" s="99">
        <v>202200916</v>
      </c>
      <c r="P91" s="165">
        <v>55500000</v>
      </c>
      <c r="Q91" s="99" t="s">
        <v>146</v>
      </c>
      <c r="R91" s="99" t="s">
        <v>146</v>
      </c>
      <c r="S91" s="99"/>
      <c r="T91" s="111" t="s">
        <v>43</v>
      </c>
      <c r="U91" s="96" t="s">
        <v>624</v>
      </c>
      <c r="V91" s="97">
        <v>44582</v>
      </c>
      <c r="W91" s="166"/>
      <c r="X91" s="166"/>
      <c r="Y91" s="99"/>
      <c r="Z91" s="96" t="s">
        <v>168</v>
      </c>
      <c r="AA91" s="99" t="s">
        <v>169</v>
      </c>
      <c r="AB91" s="96" t="s">
        <v>731</v>
      </c>
      <c r="AC91" s="96"/>
      <c r="AD91" s="97">
        <v>44607</v>
      </c>
      <c r="AE91" s="362" t="s">
        <v>4431</v>
      </c>
      <c r="AF91" s="98"/>
      <c r="AG91" s="166">
        <f t="shared" si="33"/>
        <v>26</v>
      </c>
      <c r="AH91" s="166">
        <f t="shared" si="34"/>
        <v>25</v>
      </c>
      <c r="AI91" s="99" t="s">
        <v>258</v>
      </c>
      <c r="AJ91" s="96" t="s">
        <v>171</v>
      </c>
      <c r="AK91" s="99" t="s">
        <v>1097</v>
      </c>
      <c r="AL91" s="97">
        <v>44589</v>
      </c>
      <c r="AM91" s="214">
        <v>55499999</v>
      </c>
      <c r="AN91" s="96" t="s">
        <v>1098</v>
      </c>
      <c r="AO91" s="96"/>
      <c r="AP91" s="181">
        <f t="shared" si="30"/>
        <v>0</v>
      </c>
      <c r="AQ91" s="138"/>
      <c r="AR91" s="138"/>
      <c r="AS91" s="99" t="s">
        <v>146</v>
      </c>
      <c r="AT91" s="99" t="s">
        <v>146</v>
      </c>
      <c r="AU91" s="138"/>
      <c r="AV91" s="99" t="s">
        <v>1121</v>
      </c>
      <c r="AW91" s="99" t="s">
        <v>692</v>
      </c>
      <c r="AX91" s="99"/>
      <c r="AY91" s="167">
        <f t="shared" si="31"/>
        <v>0</v>
      </c>
      <c r="AZ91" s="139">
        <f t="shared" si="36"/>
        <v>1</v>
      </c>
      <c r="BA91" s="139">
        <f t="shared" si="32"/>
        <v>1</v>
      </c>
      <c r="BB91" s="132">
        <f>IF(AA91="CONTRATADO",IF(BA91=1,NETWORKDAYS.INTL(E91,AD91,1,[1]FESTIVOS!$B$3:$B$10)-1,AD91-E91))-BD91</f>
        <v>18</v>
      </c>
      <c r="BC91" s="157"/>
      <c r="BD91" s="162">
        <v>0</v>
      </c>
      <c r="BE91" s="382" t="s">
        <v>2052</v>
      </c>
    </row>
    <row r="92" spans="2:58" ht="43.9" customHeight="1" x14ac:dyDescent="0.25">
      <c r="B92" s="100">
        <f t="shared" si="35"/>
        <v>74</v>
      </c>
      <c r="C92" s="110" t="s">
        <v>732</v>
      </c>
      <c r="D92" s="99" t="s">
        <v>28</v>
      </c>
      <c r="E92" s="140">
        <v>44581</v>
      </c>
      <c r="F92" s="268" t="s">
        <v>4431</v>
      </c>
      <c r="G92" s="96" t="s">
        <v>733</v>
      </c>
      <c r="H92" s="96" t="s">
        <v>734</v>
      </c>
      <c r="I92" s="96" t="s">
        <v>146</v>
      </c>
      <c r="J92" s="133" t="s">
        <v>735</v>
      </c>
      <c r="K92" s="341">
        <v>333219580</v>
      </c>
      <c r="L92" s="96" t="s">
        <v>275</v>
      </c>
      <c r="M92" s="99" t="s">
        <v>3503</v>
      </c>
      <c r="N92" s="99"/>
      <c r="O92" s="99">
        <v>202200919</v>
      </c>
      <c r="P92" s="165">
        <v>333219580</v>
      </c>
      <c r="Q92" s="99" t="s">
        <v>146</v>
      </c>
      <c r="R92" s="99" t="s">
        <v>146</v>
      </c>
      <c r="S92" s="99"/>
      <c r="T92" s="111" t="s">
        <v>43</v>
      </c>
      <c r="U92" s="96" t="s">
        <v>503</v>
      </c>
      <c r="V92" s="97">
        <v>44581</v>
      </c>
      <c r="W92" s="166"/>
      <c r="X92" s="166"/>
      <c r="Y92" s="99"/>
      <c r="Z92" s="96" t="s">
        <v>168</v>
      </c>
      <c r="AA92" s="99" t="s">
        <v>169</v>
      </c>
      <c r="AB92" s="96" t="s">
        <v>736</v>
      </c>
      <c r="AC92" s="96"/>
      <c r="AD92" s="97">
        <v>44599</v>
      </c>
      <c r="AE92" s="362" t="s">
        <v>4431</v>
      </c>
      <c r="AF92" s="98"/>
      <c r="AG92" s="166">
        <f t="shared" si="33"/>
        <v>18</v>
      </c>
      <c r="AH92" s="166">
        <f t="shared" si="34"/>
        <v>18</v>
      </c>
      <c r="AI92" s="99" t="s">
        <v>258</v>
      </c>
      <c r="AJ92" s="96" t="s">
        <v>171</v>
      </c>
      <c r="AK92" s="99" t="s">
        <v>1099</v>
      </c>
      <c r="AL92" s="97">
        <v>44589</v>
      </c>
      <c r="AM92" s="214">
        <v>299483180</v>
      </c>
      <c r="AN92" s="96" t="s">
        <v>1100</v>
      </c>
      <c r="AO92" s="96"/>
      <c r="AP92" s="181">
        <f t="shared" si="30"/>
        <v>33736400</v>
      </c>
      <c r="AQ92" s="138"/>
      <c r="AR92" s="138"/>
      <c r="AS92" s="99" t="s">
        <v>146</v>
      </c>
      <c r="AT92" s="99" t="s">
        <v>146</v>
      </c>
      <c r="AU92" s="138"/>
      <c r="AV92" s="99" t="s">
        <v>1127</v>
      </c>
      <c r="AW92" s="99" t="s">
        <v>1001</v>
      </c>
      <c r="AX92" s="99"/>
      <c r="AY92" s="167">
        <f t="shared" si="31"/>
        <v>0.10124375044227593</v>
      </c>
      <c r="AZ92" s="139">
        <f t="shared" si="36"/>
        <v>1</v>
      </c>
      <c r="BA92" s="139">
        <f t="shared" si="32"/>
        <v>1</v>
      </c>
      <c r="BB92" s="132">
        <f>IF(AA92="CONTRATADO",IF(BA92=1,NETWORKDAYS.INTL(E92,AD92,1,[1]FESTIVOS!$B$3:$B$10)-1,AD92-E92))-BD92</f>
        <v>12</v>
      </c>
      <c r="BC92" s="157"/>
      <c r="BD92" s="162">
        <v>0</v>
      </c>
      <c r="BE92" s="382" t="s">
        <v>2052</v>
      </c>
      <c r="BF92" s="160"/>
    </row>
    <row r="93" spans="2:58" ht="43.9" customHeight="1" x14ac:dyDescent="0.25">
      <c r="B93" s="100">
        <f t="shared" si="35"/>
        <v>75</v>
      </c>
      <c r="C93" s="110" t="s">
        <v>737</v>
      </c>
      <c r="D93" s="99" t="s">
        <v>28</v>
      </c>
      <c r="E93" s="140">
        <v>44581</v>
      </c>
      <c r="F93" s="268" t="s">
        <v>4431</v>
      </c>
      <c r="G93" s="96" t="s">
        <v>738</v>
      </c>
      <c r="H93" s="96" t="s">
        <v>739</v>
      </c>
      <c r="I93" s="96" t="s">
        <v>146</v>
      </c>
      <c r="J93" s="133" t="s">
        <v>740</v>
      </c>
      <c r="K93" s="341">
        <v>51766000</v>
      </c>
      <c r="L93" s="96" t="s">
        <v>1101</v>
      </c>
      <c r="M93" s="99" t="s">
        <v>3987</v>
      </c>
      <c r="N93" s="99"/>
      <c r="O93" s="99">
        <v>202200914</v>
      </c>
      <c r="P93" s="165"/>
      <c r="Q93" s="99" t="s">
        <v>146</v>
      </c>
      <c r="R93" s="99" t="s">
        <v>146</v>
      </c>
      <c r="S93" s="99"/>
      <c r="T93" s="111" t="s">
        <v>43</v>
      </c>
      <c r="U93" s="96" t="s">
        <v>187</v>
      </c>
      <c r="V93" s="97">
        <v>44581</v>
      </c>
      <c r="W93" s="166"/>
      <c r="X93" s="166"/>
      <c r="Y93" s="99"/>
      <c r="Z93" s="96" t="s">
        <v>168</v>
      </c>
      <c r="AA93" s="99" t="s">
        <v>169</v>
      </c>
      <c r="AB93" s="96" t="s">
        <v>741</v>
      </c>
      <c r="AC93" s="96"/>
      <c r="AD93" s="97">
        <v>44596</v>
      </c>
      <c r="AE93" s="362" t="s">
        <v>4431</v>
      </c>
      <c r="AF93" s="98"/>
      <c r="AG93" s="166">
        <f t="shared" si="33"/>
        <v>15</v>
      </c>
      <c r="AH93" s="166">
        <f t="shared" si="34"/>
        <v>15</v>
      </c>
      <c r="AI93" s="99" t="s">
        <v>258</v>
      </c>
      <c r="AJ93" s="96" t="s">
        <v>171</v>
      </c>
      <c r="AK93" s="99" t="s">
        <v>1102</v>
      </c>
      <c r="AL93" s="97">
        <v>44588</v>
      </c>
      <c r="AM93" s="214">
        <v>51766000</v>
      </c>
      <c r="AN93" s="96" t="s">
        <v>315</v>
      </c>
      <c r="AO93" s="96"/>
      <c r="AP93" s="181">
        <f t="shared" si="30"/>
        <v>0</v>
      </c>
      <c r="AQ93" s="138"/>
      <c r="AR93" s="138"/>
      <c r="AS93" s="99" t="s">
        <v>146</v>
      </c>
      <c r="AT93" s="99" t="s">
        <v>146</v>
      </c>
      <c r="AU93" s="138"/>
      <c r="AV93" s="99" t="s">
        <v>174</v>
      </c>
      <c r="AW93" s="99" t="s">
        <v>175</v>
      </c>
      <c r="AX93" s="99"/>
      <c r="AY93" s="167">
        <f t="shared" si="31"/>
        <v>0</v>
      </c>
      <c r="AZ93" s="139">
        <f t="shared" si="36"/>
        <v>1</v>
      </c>
      <c r="BA93" s="139">
        <f t="shared" si="32"/>
        <v>1</v>
      </c>
      <c r="BB93" s="132">
        <f>IF(AA93="CONTRATADO",IF(BA93=1,NETWORKDAYS.INTL(E93,AD93,1,[1]FESTIVOS!$B$3:$B$10)-1,AD93-E93))-BD93</f>
        <v>11</v>
      </c>
      <c r="BC93" s="157"/>
      <c r="BD93" s="162">
        <v>0</v>
      </c>
      <c r="BE93" s="382" t="s">
        <v>2052</v>
      </c>
    </row>
    <row r="94" spans="2:58" ht="43.9" customHeight="1" x14ac:dyDescent="0.25">
      <c r="B94" s="100">
        <f t="shared" si="35"/>
        <v>76</v>
      </c>
      <c r="C94" s="110" t="s">
        <v>742</v>
      </c>
      <c r="D94" s="99" t="s">
        <v>28</v>
      </c>
      <c r="E94" s="140">
        <v>44581</v>
      </c>
      <c r="F94" s="268" t="s">
        <v>4431</v>
      </c>
      <c r="G94" s="96" t="s">
        <v>743</v>
      </c>
      <c r="H94" s="96" t="s">
        <v>744</v>
      </c>
      <c r="I94" s="96" t="s">
        <v>146</v>
      </c>
      <c r="J94" s="133" t="s">
        <v>745</v>
      </c>
      <c r="K94" s="341">
        <v>130669738</v>
      </c>
      <c r="L94" s="96" t="s">
        <v>670</v>
      </c>
      <c r="M94" s="96" t="s">
        <v>1103</v>
      </c>
      <c r="N94" s="96"/>
      <c r="O94" s="99">
        <v>202201924</v>
      </c>
      <c r="P94" s="165">
        <v>135000000</v>
      </c>
      <c r="Q94" s="99" t="s">
        <v>146</v>
      </c>
      <c r="R94" s="99" t="s">
        <v>146</v>
      </c>
      <c r="S94" s="99"/>
      <c r="T94" s="111" t="s">
        <v>43</v>
      </c>
      <c r="U94" s="96" t="s">
        <v>161</v>
      </c>
      <c r="V94" s="97">
        <v>44581</v>
      </c>
      <c r="W94" s="166"/>
      <c r="X94" s="166"/>
      <c r="Y94" s="99"/>
      <c r="Z94" s="96" t="s">
        <v>168</v>
      </c>
      <c r="AA94" s="99" t="s">
        <v>169</v>
      </c>
      <c r="AB94" s="96" t="s">
        <v>709</v>
      </c>
      <c r="AC94" s="96"/>
      <c r="AD94" s="97">
        <v>44599</v>
      </c>
      <c r="AE94" s="362" t="s">
        <v>4431</v>
      </c>
      <c r="AF94" s="98"/>
      <c r="AG94" s="166">
        <f t="shared" si="33"/>
        <v>18</v>
      </c>
      <c r="AH94" s="166">
        <f t="shared" si="34"/>
        <v>18</v>
      </c>
      <c r="AI94" s="99" t="s">
        <v>258</v>
      </c>
      <c r="AJ94" s="96" t="s">
        <v>155</v>
      </c>
      <c r="AK94" s="99" t="s">
        <v>1104</v>
      </c>
      <c r="AL94" s="97">
        <v>44588</v>
      </c>
      <c r="AM94" s="214">
        <v>128331708</v>
      </c>
      <c r="AN94" s="96" t="s">
        <v>1089</v>
      </c>
      <c r="AO94" s="96"/>
      <c r="AP94" s="181">
        <f t="shared" si="30"/>
        <v>2338030</v>
      </c>
      <c r="AQ94" s="138"/>
      <c r="AR94" s="138"/>
      <c r="AS94" s="99" t="s">
        <v>146</v>
      </c>
      <c r="AT94" s="99" t="s">
        <v>146</v>
      </c>
      <c r="AU94" s="138"/>
      <c r="AV94" s="99" t="s">
        <v>1128</v>
      </c>
      <c r="AW94" s="99" t="s">
        <v>1123</v>
      </c>
      <c r="AX94" s="99"/>
      <c r="AY94" s="167">
        <f t="shared" si="31"/>
        <v>1.789266616574987E-2</v>
      </c>
      <c r="AZ94" s="139">
        <f t="shared" si="36"/>
        <v>1</v>
      </c>
      <c r="BA94" s="139">
        <f t="shared" si="32"/>
        <v>1</v>
      </c>
      <c r="BB94" s="132">
        <f>IF(AA94="CONTRATADO",IF(BA94=1,NETWORKDAYS.INTL(E94,AD94,1,[1]FESTIVOS!$B$3:$B$10)-1,AD94-E94))-BD94</f>
        <v>12</v>
      </c>
      <c r="BC94" s="157"/>
      <c r="BD94" s="162">
        <v>0</v>
      </c>
      <c r="BE94" s="382" t="s">
        <v>2052</v>
      </c>
      <c r="BF94" s="160"/>
    </row>
    <row r="95" spans="2:58" ht="43.9" customHeight="1" x14ac:dyDescent="0.25">
      <c r="B95" s="100">
        <f t="shared" si="35"/>
        <v>77</v>
      </c>
      <c r="C95" s="110" t="s">
        <v>746</v>
      </c>
      <c r="D95" s="99" t="s">
        <v>28</v>
      </c>
      <c r="E95" s="140">
        <v>44581</v>
      </c>
      <c r="F95" s="268" t="s">
        <v>4431</v>
      </c>
      <c r="G95" s="96" t="s">
        <v>747</v>
      </c>
      <c r="H95" s="96" t="s">
        <v>748</v>
      </c>
      <c r="I95" s="96" t="s">
        <v>146</v>
      </c>
      <c r="J95" s="133" t="s">
        <v>749</v>
      </c>
      <c r="K95" s="341">
        <v>213249448</v>
      </c>
      <c r="L95" s="96" t="s">
        <v>1105</v>
      </c>
      <c r="M95" s="96" t="s">
        <v>4445</v>
      </c>
      <c r="N95" s="96"/>
      <c r="O95" s="99">
        <v>202201928</v>
      </c>
      <c r="P95" s="165">
        <v>215000000</v>
      </c>
      <c r="Q95" s="99" t="s">
        <v>146</v>
      </c>
      <c r="R95" s="99" t="s">
        <v>146</v>
      </c>
      <c r="S95" s="99"/>
      <c r="T95" s="111" t="s">
        <v>43</v>
      </c>
      <c r="U95" s="96" t="s">
        <v>161</v>
      </c>
      <c r="V95" s="97">
        <v>44581</v>
      </c>
      <c r="W95" s="166"/>
      <c r="X95" s="166"/>
      <c r="Y95" s="99"/>
      <c r="Z95" s="96" t="s">
        <v>168</v>
      </c>
      <c r="AA95" s="99" t="s">
        <v>169</v>
      </c>
      <c r="AB95" s="96" t="s">
        <v>750</v>
      </c>
      <c r="AC95" s="96"/>
      <c r="AD95" s="97">
        <v>44599</v>
      </c>
      <c r="AE95" s="362" t="s">
        <v>4431</v>
      </c>
      <c r="AF95" s="98"/>
      <c r="AG95" s="166">
        <f t="shared" si="33"/>
        <v>18</v>
      </c>
      <c r="AH95" s="166">
        <f t="shared" si="34"/>
        <v>18</v>
      </c>
      <c r="AI95" s="99" t="s">
        <v>258</v>
      </c>
      <c r="AJ95" s="96" t="s">
        <v>155</v>
      </c>
      <c r="AK95" s="99" t="s">
        <v>1106</v>
      </c>
      <c r="AL95" s="97">
        <v>44588</v>
      </c>
      <c r="AM95" s="214">
        <v>210626684</v>
      </c>
      <c r="AN95" s="96" t="s">
        <v>1078</v>
      </c>
      <c r="AO95" s="96"/>
      <c r="AP95" s="181">
        <f t="shared" si="30"/>
        <v>2622764</v>
      </c>
      <c r="AQ95" s="138"/>
      <c r="AR95" s="138"/>
      <c r="AS95" s="99" t="s">
        <v>146</v>
      </c>
      <c r="AT95" s="99" t="s">
        <v>146</v>
      </c>
      <c r="AU95" s="138"/>
      <c r="AV95" s="99" t="s">
        <v>1128</v>
      </c>
      <c r="AW95" s="99" t="s">
        <v>1123</v>
      </c>
      <c r="AX95" s="99"/>
      <c r="AY95" s="167">
        <f t="shared" si="31"/>
        <v>1.2299042387204679E-2</v>
      </c>
      <c r="AZ95" s="139">
        <f t="shared" si="36"/>
        <v>1</v>
      </c>
      <c r="BA95" s="139">
        <f t="shared" si="32"/>
        <v>1</v>
      </c>
      <c r="BB95" s="132">
        <f>IF(AA95="CONTRATADO",IF(BA95=1,NETWORKDAYS.INTL(E95,AD95,1,[1]FESTIVOS!$B$3:$B$10)-1,AD95-E95))-BD95</f>
        <v>12</v>
      </c>
      <c r="BC95" s="157"/>
      <c r="BD95" s="162">
        <v>0</v>
      </c>
      <c r="BE95" s="382" t="s">
        <v>2052</v>
      </c>
      <c r="BF95" s="160"/>
    </row>
    <row r="96" spans="2:58" ht="43.9" customHeight="1" x14ac:dyDescent="0.25">
      <c r="B96" s="100">
        <f t="shared" si="35"/>
        <v>78</v>
      </c>
      <c r="C96" s="110" t="s">
        <v>751</v>
      </c>
      <c r="D96" s="99" t="s">
        <v>28</v>
      </c>
      <c r="E96" s="140">
        <v>44581</v>
      </c>
      <c r="F96" s="268" t="s">
        <v>4431</v>
      </c>
      <c r="G96" s="96" t="s">
        <v>752</v>
      </c>
      <c r="H96" s="96" t="s">
        <v>753</v>
      </c>
      <c r="I96" s="96" t="s">
        <v>146</v>
      </c>
      <c r="J96" s="133" t="s">
        <v>754</v>
      </c>
      <c r="K96" s="341">
        <v>213039830</v>
      </c>
      <c r="L96" s="96" t="s">
        <v>412</v>
      </c>
      <c r="M96" s="99" t="s">
        <v>755</v>
      </c>
      <c r="N96" s="99"/>
      <c r="O96" s="99">
        <v>202200917</v>
      </c>
      <c r="P96" s="165">
        <v>213084732</v>
      </c>
      <c r="Q96" s="99" t="s">
        <v>146</v>
      </c>
      <c r="R96" s="99" t="s">
        <v>146</v>
      </c>
      <c r="S96" s="99"/>
      <c r="T96" s="111" t="s">
        <v>43</v>
      </c>
      <c r="U96" s="96" t="s">
        <v>213</v>
      </c>
      <c r="V96" s="97">
        <v>44581</v>
      </c>
      <c r="W96" s="166"/>
      <c r="X96" s="166"/>
      <c r="Y96" s="99"/>
      <c r="Z96" s="96" t="s">
        <v>168</v>
      </c>
      <c r="AA96" s="99" t="s">
        <v>169</v>
      </c>
      <c r="AB96" s="96" t="s">
        <v>688</v>
      </c>
      <c r="AC96" s="96"/>
      <c r="AD96" s="97">
        <v>44600</v>
      </c>
      <c r="AE96" s="362" t="s">
        <v>4431</v>
      </c>
      <c r="AF96" s="98"/>
      <c r="AG96" s="166">
        <f t="shared" si="33"/>
        <v>19</v>
      </c>
      <c r="AH96" s="166">
        <f t="shared" si="34"/>
        <v>19</v>
      </c>
      <c r="AI96" s="99" t="s">
        <v>258</v>
      </c>
      <c r="AJ96" s="96" t="s">
        <v>171</v>
      </c>
      <c r="AK96" s="99" t="s">
        <v>1107</v>
      </c>
      <c r="AL96" s="97">
        <v>44588</v>
      </c>
      <c r="AM96" s="214">
        <v>211031794</v>
      </c>
      <c r="AN96" s="96" t="s">
        <v>1108</v>
      </c>
      <c r="AO96" s="96"/>
      <c r="AP96" s="181">
        <f t="shared" si="30"/>
        <v>2008036</v>
      </c>
      <c r="AQ96" s="138"/>
      <c r="AR96" s="138"/>
      <c r="AS96" s="99" t="s">
        <v>146</v>
      </c>
      <c r="AT96" s="99" t="s">
        <v>146</v>
      </c>
      <c r="AU96" s="138"/>
      <c r="AV96" s="99" t="s">
        <v>1129</v>
      </c>
      <c r="AW96" s="99" t="s">
        <v>1123</v>
      </c>
      <c r="AX96" s="99"/>
      <c r="AY96" s="167">
        <f t="shared" si="31"/>
        <v>9.4256365112570725E-3</v>
      </c>
      <c r="AZ96" s="139">
        <f t="shared" si="36"/>
        <v>1</v>
      </c>
      <c r="BA96" s="139">
        <f t="shared" si="32"/>
        <v>1</v>
      </c>
      <c r="BB96" s="132">
        <f>IF(AA96="CONTRATADO",IF(BA96=1,NETWORKDAYS.INTL(E96,AD96,1,[1]FESTIVOS!$B$3:$B$10)-1,AD96-E96))-BD96</f>
        <v>13</v>
      </c>
      <c r="BC96" s="157"/>
      <c r="BD96" s="162">
        <v>0</v>
      </c>
      <c r="BE96" s="382" t="s">
        <v>2052</v>
      </c>
      <c r="BF96" s="160"/>
    </row>
    <row r="97" spans="2:58" ht="43.9" customHeight="1" x14ac:dyDescent="0.25">
      <c r="B97" s="100">
        <f t="shared" si="35"/>
        <v>79</v>
      </c>
      <c r="C97" s="110" t="s">
        <v>756</v>
      </c>
      <c r="D97" s="99" t="s">
        <v>28</v>
      </c>
      <c r="E97" s="140">
        <v>44581</v>
      </c>
      <c r="F97" s="268" t="s">
        <v>4431</v>
      </c>
      <c r="G97" s="96" t="s">
        <v>757</v>
      </c>
      <c r="H97" s="96" t="s">
        <v>758</v>
      </c>
      <c r="I97" s="96" t="s">
        <v>146</v>
      </c>
      <c r="J97" s="133" t="s">
        <v>759</v>
      </c>
      <c r="K97" s="341">
        <v>828849251</v>
      </c>
      <c r="L97" s="96" t="s">
        <v>412</v>
      </c>
      <c r="M97" s="99" t="s">
        <v>760</v>
      </c>
      <c r="N97" s="99"/>
      <c r="O97" s="99">
        <v>202200911</v>
      </c>
      <c r="P97" s="165">
        <v>828850425</v>
      </c>
      <c r="Q97" s="99" t="s">
        <v>146</v>
      </c>
      <c r="R97" s="99" t="s">
        <v>146</v>
      </c>
      <c r="S97" s="99"/>
      <c r="T97" s="111" t="s">
        <v>43</v>
      </c>
      <c r="U97" s="96" t="s">
        <v>213</v>
      </c>
      <c r="V97" s="97">
        <v>44581</v>
      </c>
      <c r="W97" s="166"/>
      <c r="X97" s="166"/>
      <c r="Y97" s="99"/>
      <c r="Z97" s="96" t="s">
        <v>168</v>
      </c>
      <c r="AA97" s="99" t="s">
        <v>169</v>
      </c>
      <c r="AB97" s="96" t="s">
        <v>688</v>
      </c>
      <c r="AC97" s="96"/>
      <c r="AD97" s="97">
        <v>44594</v>
      </c>
      <c r="AE97" s="362" t="s">
        <v>4431</v>
      </c>
      <c r="AF97" s="98"/>
      <c r="AG97" s="166">
        <f t="shared" si="33"/>
        <v>13</v>
      </c>
      <c r="AH97" s="166">
        <f t="shared" si="34"/>
        <v>13</v>
      </c>
      <c r="AI97" s="99" t="s">
        <v>761</v>
      </c>
      <c r="AJ97" s="96" t="s">
        <v>171</v>
      </c>
      <c r="AK97" s="99" t="s">
        <v>1109</v>
      </c>
      <c r="AL97" s="97">
        <v>44588</v>
      </c>
      <c r="AM97" s="214">
        <v>828709808</v>
      </c>
      <c r="AN97" s="96" t="s">
        <v>1110</v>
      </c>
      <c r="AO97" s="96"/>
      <c r="AP97" s="181">
        <f t="shared" si="30"/>
        <v>139443</v>
      </c>
      <c r="AQ97" s="138"/>
      <c r="AR97" s="138"/>
      <c r="AS97" s="99" t="s">
        <v>146</v>
      </c>
      <c r="AT97" s="99" t="s">
        <v>146</v>
      </c>
      <c r="AU97" s="138"/>
      <c r="AV97" s="99" t="s">
        <v>174</v>
      </c>
      <c r="AW97" s="99" t="s">
        <v>175</v>
      </c>
      <c r="AX97" s="99"/>
      <c r="AY97" s="167">
        <f t="shared" si="31"/>
        <v>1.6823686554794269E-4</v>
      </c>
      <c r="AZ97" s="139">
        <f t="shared" si="36"/>
        <v>1</v>
      </c>
      <c r="BA97" s="139">
        <f t="shared" si="32"/>
        <v>1</v>
      </c>
      <c r="BB97" s="132">
        <f>IF(AA97="CONTRATADO",IF(BA97=1,NETWORKDAYS.INTL(E97,AD97,1,[1]FESTIVOS!$B$3:$B$10)-1,AD97-E97))-BD97</f>
        <v>9</v>
      </c>
      <c r="BC97" s="157"/>
      <c r="BD97" s="162">
        <v>0</v>
      </c>
      <c r="BE97" s="382" t="s">
        <v>2052</v>
      </c>
    </row>
    <row r="98" spans="2:58" ht="43.9" customHeight="1" x14ac:dyDescent="0.25">
      <c r="B98" s="100">
        <f t="shared" si="35"/>
        <v>80</v>
      </c>
      <c r="C98" s="110" t="s">
        <v>762</v>
      </c>
      <c r="D98" s="99" t="s">
        <v>28</v>
      </c>
      <c r="E98" s="140">
        <v>44581</v>
      </c>
      <c r="F98" s="268" t="s">
        <v>4431</v>
      </c>
      <c r="G98" s="96" t="s">
        <v>763</v>
      </c>
      <c r="H98" s="96" t="s">
        <v>764</v>
      </c>
      <c r="I98" s="96" t="s">
        <v>146</v>
      </c>
      <c r="J98" s="133" t="s">
        <v>765</v>
      </c>
      <c r="K98" s="341">
        <v>430492113</v>
      </c>
      <c r="L98" s="96" t="s">
        <v>412</v>
      </c>
      <c r="M98" s="96" t="s">
        <v>1111</v>
      </c>
      <c r="N98" s="96"/>
      <c r="O98" s="99">
        <v>202200913</v>
      </c>
      <c r="P98" s="165">
        <v>444639048</v>
      </c>
      <c r="Q98" s="99" t="s">
        <v>146</v>
      </c>
      <c r="R98" s="99" t="s">
        <v>146</v>
      </c>
      <c r="S98" s="99"/>
      <c r="T98" s="111" t="s">
        <v>43</v>
      </c>
      <c r="U98" s="96" t="s">
        <v>161</v>
      </c>
      <c r="V98" s="97">
        <v>44581</v>
      </c>
      <c r="W98" s="166"/>
      <c r="X98" s="166"/>
      <c r="Y98" s="99"/>
      <c r="Z98" s="96" t="s">
        <v>168</v>
      </c>
      <c r="AA98" s="99" t="s">
        <v>169</v>
      </c>
      <c r="AB98" s="96" t="s">
        <v>766</v>
      </c>
      <c r="AC98" s="96"/>
      <c r="AD98" s="97">
        <v>44596</v>
      </c>
      <c r="AE98" s="362" t="s">
        <v>4431</v>
      </c>
      <c r="AF98" s="98"/>
      <c r="AG98" s="166">
        <f t="shared" si="33"/>
        <v>15</v>
      </c>
      <c r="AH98" s="166">
        <f t="shared" si="34"/>
        <v>15</v>
      </c>
      <c r="AI98" s="99" t="s">
        <v>258</v>
      </c>
      <c r="AJ98" s="96" t="s">
        <v>258</v>
      </c>
      <c r="AK98" s="99" t="s">
        <v>1112</v>
      </c>
      <c r="AL98" s="97">
        <v>44588</v>
      </c>
      <c r="AM98" s="214">
        <v>430491890</v>
      </c>
      <c r="AN98" s="96" t="s">
        <v>1110</v>
      </c>
      <c r="AO98" s="96"/>
      <c r="AP98" s="181">
        <f t="shared" si="30"/>
        <v>223</v>
      </c>
      <c r="AQ98" s="138"/>
      <c r="AR98" s="138"/>
      <c r="AS98" s="99" t="s">
        <v>146</v>
      </c>
      <c r="AT98" s="99" t="s">
        <v>146</v>
      </c>
      <c r="AU98" s="138"/>
      <c r="AV98" s="99" t="s">
        <v>174</v>
      </c>
      <c r="AW98" s="99" t="s">
        <v>175</v>
      </c>
      <c r="AX98" s="99"/>
      <c r="AY98" s="167">
        <f t="shared" si="31"/>
        <v>5.1801181314557556E-7</v>
      </c>
      <c r="AZ98" s="139">
        <f t="shared" si="36"/>
        <v>1</v>
      </c>
      <c r="BA98" s="139">
        <f t="shared" si="32"/>
        <v>1</v>
      </c>
      <c r="BB98" s="132">
        <f>IF(AA98="CONTRATADO",IF(BA98=1,NETWORKDAYS.INTL(E98,AD98,1,[1]FESTIVOS!$B$3:$B$10)-1,AD98-E98))-BD98</f>
        <v>11</v>
      </c>
      <c r="BC98" s="157"/>
      <c r="BD98" s="162">
        <v>0</v>
      </c>
      <c r="BE98" s="382" t="s">
        <v>2052</v>
      </c>
    </row>
    <row r="99" spans="2:58" ht="43.9" customHeight="1" x14ac:dyDescent="0.25">
      <c r="B99" s="100">
        <f t="shared" si="35"/>
        <v>81</v>
      </c>
      <c r="C99" s="110" t="s">
        <v>767</v>
      </c>
      <c r="D99" s="99" t="s">
        <v>28</v>
      </c>
      <c r="E99" s="140">
        <v>44581</v>
      </c>
      <c r="F99" s="268" t="s">
        <v>4431</v>
      </c>
      <c r="G99" s="96" t="s">
        <v>768</v>
      </c>
      <c r="H99" s="96" t="s">
        <v>769</v>
      </c>
      <c r="I99" s="96" t="s">
        <v>146</v>
      </c>
      <c r="J99" s="133" t="s">
        <v>770</v>
      </c>
      <c r="K99" s="341">
        <v>553875968</v>
      </c>
      <c r="L99" s="96" t="s">
        <v>412</v>
      </c>
      <c r="M99" s="99" t="s">
        <v>771</v>
      </c>
      <c r="N99" s="99"/>
      <c r="O99" s="99">
        <v>202200912</v>
      </c>
      <c r="P99" s="165">
        <v>553885500</v>
      </c>
      <c r="Q99" s="99" t="s">
        <v>146</v>
      </c>
      <c r="R99" s="99" t="s">
        <v>146</v>
      </c>
      <c r="S99" s="99"/>
      <c r="T99" s="111" t="s">
        <v>43</v>
      </c>
      <c r="U99" s="96" t="s">
        <v>187</v>
      </c>
      <c r="V99" s="97">
        <v>44581</v>
      </c>
      <c r="W99" s="166"/>
      <c r="X99" s="166"/>
      <c r="Y99" s="99"/>
      <c r="Z99" s="96" t="s">
        <v>168</v>
      </c>
      <c r="AA99" s="99" t="s">
        <v>169</v>
      </c>
      <c r="AB99" s="96" t="s">
        <v>725</v>
      </c>
      <c r="AC99" s="96"/>
      <c r="AD99" s="97">
        <v>44602</v>
      </c>
      <c r="AE99" s="362" t="s">
        <v>4431</v>
      </c>
      <c r="AF99" s="98"/>
      <c r="AG99" s="166">
        <f t="shared" si="33"/>
        <v>21</v>
      </c>
      <c r="AH99" s="166">
        <f t="shared" si="34"/>
        <v>21</v>
      </c>
      <c r="AI99" s="99" t="s">
        <v>761</v>
      </c>
      <c r="AJ99" s="96" t="s">
        <v>171</v>
      </c>
      <c r="AK99" s="99" t="s">
        <v>1113</v>
      </c>
      <c r="AL99" s="97">
        <v>44588</v>
      </c>
      <c r="AM99" s="214">
        <v>553859106</v>
      </c>
      <c r="AN99" s="96" t="s">
        <v>1114</v>
      </c>
      <c r="AO99" s="96"/>
      <c r="AP99" s="181">
        <f t="shared" si="30"/>
        <v>16862</v>
      </c>
      <c r="AQ99" s="138"/>
      <c r="AR99" s="138"/>
      <c r="AS99" s="99" t="s">
        <v>146</v>
      </c>
      <c r="AT99" s="99" t="s">
        <v>146</v>
      </c>
      <c r="AU99" s="138"/>
      <c r="AV99" s="99" t="s">
        <v>174</v>
      </c>
      <c r="AW99" s="99" t="s">
        <v>175</v>
      </c>
      <c r="AX99" s="99"/>
      <c r="AY99" s="167">
        <f t="shared" si="31"/>
        <v>3.0443638962866141E-5</v>
      </c>
      <c r="AZ99" s="139">
        <f t="shared" si="36"/>
        <v>1</v>
      </c>
      <c r="BA99" s="139">
        <f t="shared" si="32"/>
        <v>1</v>
      </c>
      <c r="BB99" s="132">
        <f>IF(AA99="CONTRATADO",IF(BA99=1,NETWORKDAYS.INTL(E99,AD99,1,[1]FESTIVOS!$B$3:$B$10)-1,AD99-E99))-BD99</f>
        <v>15</v>
      </c>
      <c r="BC99" s="157"/>
      <c r="BD99" s="162">
        <v>0</v>
      </c>
      <c r="BE99" s="382" t="s">
        <v>2052</v>
      </c>
    </row>
    <row r="100" spans="2:58" ht="43.9" customHeight="1" x14ac:dyDescent="0.25">
      <c r="B100" s="100">
        <f t="shared" si="35"/>
        <v>82</v>
      </c>
      <c r="C100" s="110" t="s">
        <v>772</v>
      </c>
      <c r="D100" s="99" t="s">
        <v>32</v>
      </c>
      <c r="E100" s="140">
        <v>44581</v>
      </c>
      <c r="F100" s="268" t="s">
        <v>4431</v>
      </c>
      <c r="G100" s="99" t="s">
        <v>773</v>
      </c>
      <c r="H100" s="99" t="s">
        <v>774</v>
      </c>
      <c r="I100" s="96" t="s">
        <v>146</v>
      </c>
      <c r="J100" s="133" t="s">
        <v>775</v>
      </c>
      <c r="K100" s="341">
        <v>1479301367</v>
      </c>
      <c r="L100" s="96" t="s">
        <v>275</v>
      </c>
      <c r="M100" s="99" t="s">
        <v>776</v>
      </c>
      <c r="N100" s="99"/>
      <c r="O100" s="99">
        <v>202201863</v>
      </c>
      <c r="P100" s="165"/>
      <c r="Q100" s="99" t="s">
        <v>146</v>
      </c>
      <c r="R100" s="99" t="s">
        <v>146</v>
      </c>
      <c r="S100" s="99"/>
      <c r="T100" s="111" t="s">
        <v>43</v>
      </c>
      <c r="U100" s="96" t="s">
        <v>777</v>
      </c>
      <c r="V100" s="97">
        <v>44582</v>
      </c>
      <c r="W100" s="166"/>
      <c r="X100" s="166"/>
      <c r="Y100" s="99"/>
      <c r="Z100" s="96" t="s">
        <v>168</v>
      </c>
      <c r="AA100" s="99" t="s">
        <v>169</v>
      </c>
      <c r="AB100" s="96" t="s">
        <v>778</v>
      </c>
      <c r="AC100" s="96"/>
      <c r="AD100" s="97">
        <v>44600</v>
      </c>
      <c r="AE100" s="362" t="s">
        <v>4431</v>
      </c>
      <c r="AF100" s="98"/>
      <c r="AG100" s="166">
        <f t="shared" si="33"/>
        <v>19</v>
      </c>
      <c r="AH100" s="166">
        <f t="shared" si="34"/>
        <v>18</v>
      </c>
      <c r="AI100" s="99" t="s">
        <v>241</v>
      </c>
      <c r="AJ100" s="96" t="s">
        <v>491</v>
      </c>
      <c r="AK100" s="99" t="s">
        <v>1115</v>
      </c>
      <c r="AL100" s="97">
        <v>44589</v>
      </c>
      <c r="AM100" s="214">
        <v>1479300867</v>
      </c>
      <c r="AN100" s="96" t="s">
        <v>1116</v>
      </c>
      <c r="AO100" s="96"/>
      <c r="AP100" s="181">
        <f t="shared" si="30"/>
        <v>500</v>
      </c>
      <c r="AQ100" s="138"/>
      <c r="AR100" s="138"/>
      <c r="AS100" s="99" t="s">
        <v>146</v>
      </c>
      <c r="AT100" s="99" t="s">
        <v>146</v>
      </c>
      <c r="AU100" s="138"/>
      <c r="AV100" s="99" t="s">
        <v>1296</v>
      </c>
      <c r="AW100" s="99" t="s">
        <v>692</v>
      </c>
      <c r="AX100" s="99"/>
      <c r="AY100" s="167">
        <f t="shared" si="31"/>
        <v>3.3799738927706944E-7</v>
      </c>
      <c r="AZ100" s="139">
        <f t="shared" si="36"/>
        <v>1</v>
      </c>
      <c r="BA100" s="139">
        <f t="shared" si="32"/>
        <v>1</v>
      </c>
      <c r="BB100" s="132">
        <f>IF(AA100="CONTRATADO",IF(BA100=1,NETWORKDAYS.INTL(E100,AD100,1,[1]FESTIVOS!$B$3:$B$10)-1,AD100-E100))-BD100</f>
        <v>13</v>
      </c>
      <c r="BC100" s="157"/>
      <c r="BD100" s="162">
        <v>0</v>
      </c>
      <c r="BE100" s="382" t="s">
        <v>2052</v>
      </c>
      <c r="BF100" s="160"/>
    </row>
    <row r="101" spans="2:58" ht="43.9" customHeight="1" x14ac:dyDescent="0.25">
      <c r="B101" s="100">
        <f t="shared" si="35"/>
        <v>83</v>
      </c>
      <c r="C101" s="293" t="s">
        <v>779</v>
      </c>
      <c r="D101" s="312" t="s">
        <v>32</v>
      </c>
      <c r="E101" s="272">
        <v>44581</v>
      </c>
      <c r="F101" s="268" t="s">
        <v>4431</v>
      </c>
      <c r="G101" s="269" t="s">
        <v>780</v>
      </c>
      <c r="H101" s="265" t="s">
        <v>781</v>
      </c>
      <c r="I101" s="265" t="s">
        <v>146</v>
      </c>
      <c r="J101" s="269" t="s">
        <v>782</v>
      </c>
      <c r="K101" s="342">
        <v>27612284</v>
      </c>
      <c r="L101" s="282"/>
      <c r="M101" s="265" t="s">
        <v>783</v>
      </c>
      <c r="N101" s="302" t="str">
        <f>MID(M101,5,3)</f>
        <v>IP-</v>
      </c>
      <c r="O101" s="265">
        <v>202201998</v>
      </c>
      <c r="P101" s="271"/>
      <c r="Q101" s="265" t="s">
        <v>146</v>
      </c>
      <c r="R101" s="265" t="s">
        <v>146</v>
      </c>
      <c r="S101" s="312" t="s">
        <v>146</v>
      </c>
      <c r="T101" s="111" t="s">
        <v>43</v>
      </c>
      <c r="U101" s="269" t="s">
        <v>551</v>
      </c>
      <c r="V101" s="285">
        <v>44581</v>
      </c>
      <c r="W101" s="303" t="e">
        <f>+$D$4-E101</f>
        <v>#VALUE!</v>
      </c>
      <c r="X101" s="303" t="e">
        <f>$D$4-V101</f>
        <v>#VALUE!</v>
      </c>
      <c r="Y101" s="265" t="s">
        <v>1300</v>
      </c>
      <c r="Z101" s="265" t="s">
        <v>214</v>
      </c>
      <c r="AA101" s="265" t="s">
        <v>215</v>
      </c>
      <c r="AB101" s="265"/>
      <c r="AC101" s="304" t="s">
        <v>784</v>
      </c>
      <c r="AD101" s="272">
        <v>44589</v>
      </c>
      <c r="AE101" s="265"/>
      <c r="AF101" s="305" t="str">
        <f>+IF(AD101="","",TEXT(AD101,"mmm"))</f>
        <v>ene</v>
      </c>
      <c r="AG101" s="306">
        <f t="shared" si="33"/>
        <v>8</v>
      </c>
      <c r="AH101" s="307">
        <f t="shared" si="34"/>
        <v>8</v>
      </c>
      <c r="AI101" s="265" t="s">
        <v>258</v>
      </c>
      <c r="AJ101" s="265" t="s">
        <v>171</v>
      </c>
      <c r="AK101" s="277"/>
      <c r="AL101" s="277"/>
      <c r="AM101" s="309"/>
      <c r="AN101" s="269"/>
      <c r="AO101" s="277"/>
      <c r="AP101" s="309">
        <f t="shared" ref="AP101:AP127" si="37">+K101-AM101</f>
        <v>27612284</v>
      </c>
      <c r="AQ101" s="289"/>
      <c r="AR101" s="289"/>
      <c r="AS101" s="277"/>
      <c r="AT101" s="260"/>
      <c r="AU101" s="260"/>
      <c r="AV101" s="200"/>
      <c r="AW101" s="200"/>
      <c r="AX101" s="200"/>
      <c r="AY101" s="200"/>
      <c r="AZ101" s="139">
        <f t="shared" si="36"/>
        <v>1</v>
      </c>
      <c r="BA101" s="200"/>
      <c r="BB101" s="203"/>
      <c r="BC101" s="95"/>
      <c r="BD101" s="2"/>
      <c r="BE101" s="2"/>
      <c r="BF101" s="160"/>
    </row>
    <row r="102" spans="2:58" ht="43.9" customHeight="1" x14ac:dyDescent="0.25">
      <c r="B102" s="100">
        <f t="shared" si="35"/>
        <v>84</v>
      </c>
      <c r="C102" s="110" t="s">
        <v>785</v>
      </c>
      <c r="D102" s="99" t="s">
        <v>28</v>
      </c>
      <c r="E102" s="140">
        <v>44582</v>
      </c>
      <c r="F102" s="268" t="s">
        <v>4431</v>
      </c>
      <c r="G102" s="99" t="s">
        <v>786</v>
      </c>
      <c r="H102" s="99" t="s">
        <v>787</v>
      </c>
      <c r="I102" s="96" t="s">
        <v>146</v>
      </c>
      <c r="J102" s="133" t="s">
        <v>788</v>
      </c>
      <c r="K102" s="341">
        <v>492062894</v>
      </c>
      <c r="L102" s="172" t="s">
        <v>670</v>
      </c>
      <c r="M102" s="99" t="s">
        <v>789</v>
      </c>
      <c r="N102" s="99"/>
      <c r="O102" s="99">
        <v>202201920</v>
      </c>
      <c r="P102" s="165">
        <v>495000000</v>
      </c>
      <c r="Q102" s="99" t="s">
        <v>146</v>
      </c>
      <c r="R102" s="99" t="s">
        <v>146</v>
      </c>
      <c r="S102" s="99"/>
      <c r="T102" s="111" t="s">
        <v>43</v>
      </c>
      <c r="U102" s="96" t="s">
        <v>213</v>
      </c>
      <c r="V102" s="140">
        <v>44582</v>
      </c>
      <c r="W102" s="166"/>
      <c r="X102" s="166"/>
      <c r="Y102" s="99"/>
      <c r="Z102" s="96" t="s">
        <v>168</v>
      </c>
      <c r="AA102" s="99" t="s">
        <v>169</v>
      </c>
      <c r="AB102" s="96" t="s">
        <v>688</v>
      </c>
      <c r="AC102" s="96"/>
      <c r="AD102" s="97">
        <v>44595</v>
      </c>
      <c r="AE102" s="362" t="s">
        <v>4431</v>
      </c>
      <c r="AF102" s="98"/>
      <c r="AG102" s="166">
        <f t="shared" si="33"/>
        <v>13</v>
      </c>
      <c r="AH102" s="166">
        <f t="shared" si="34"/>
        <v>13</v>
      </c>
      <c r="AI102" s="99" t="s">
        <v>258</v>
      </c>
      <c r="AJ102" s="96" t="s">
        <v>155</v>
      </c>
      <c r="AK102" s="99" t="s">
        <v>1117</v>
      </c>
      <c r="AL102" s="97">
        <v>44588</v>
      </c>
      <c r="AM102" s="214">
        <v>488670524</v>
      </c>
      <c r="AN102" s="96" t="s">
        <v>1118</v>
      </c>
      <c r="AO102" s="96"/>
      <c r="AP102" s="181">
        <f t="shared" si="37"/>
        <v>3392370</v>
      </c>
      <c r="AQ102" s="138"/>
      <c r="AR102" s="138"/>
      <c r="AS102" s="99"/>
      <c r="AT102" s="99"/>
      <c r="AU102" s="138"/>
      <c r="AV102" s="99" t="s">
        <v>174</v>
      </c>
      <c r="AW102" s="99" t="s">
        <v>175</v>
      </c>
      <c r="AX102" s="99"/>
      <c r="AY102" s="167">
        <f>+AP102/K102</f>
        <v>6.8941796696419871E-3</v>
      </c>
      <c r="AZ102" s="139">
        <f t="shared" si="36"/>
        <v>1</v>
      </c>
      <c r="BA102" s="139">
        <f>IF(T102="Invitación Privada",1,IF(T102="Invitación Pública",2,0))</f>
        <v>1</v>
      </c>
      <c r="BB102" s="132">
        <f>IF(AA102="CONTRATADO",IF(BA102=1,NETWORKDAYS.INTL(E102,AD102,1,[1]FESTIVOS!$B$3:$B$10)-1,AD102-E102))-BD102</f>
        <v>9</v>
      </c>
      <c r="BC102" s="157"/>
      <c r="BD102" s="162">
        <v>0</v>
      </c>
      <c r="BE102" s="382" t="s">
        <v>2052</v>
      </c>
      <c r="BF102" s="160"/>
    </row>
    <row r="103" spans="2:58" ht="43.9" customHeight="1" x14ac:dyDescent="0.25">
      <c r="B103" s="100">
        <f t="shared" si="35"/>
        <v>85</v>
      </c>
      <c r="C103" s="293" t="s">
        <v>790</v>
      </c>
      <c r="D103" s="265" t="s">
        <v>332</v>
      </c>
      <c r="E103" s="272">
        <v>44582</v>
      </c>
      <c r="F103" s="268" t="s">
        <v>4431</v>
      </c>
      <c r="G103" s="269" t="s">
        <v>791</v>
      </c>
      <c r="H103" s="265" t="s">
        <v>792</v>
      </c>
      <c r="I103" s="265" t="s">
        <v>146</v>
      </c>
      <c r="J103" s="269" t="s">
        <v>793</v>
      </c>
      <c r="K103" s="342">
        <v>500000000</v>
      </c>
      <c r="L103" s="282"/>
      <c r="M103" s="265" t="s">
        <v>794</v>
      </c>
      <c r="N103" s="302" t="str">
        <f>MID(M103,5,3)</f>
        <v>IP-</v>
      </c>
      <c r="O103" s="277"/>
      <c r="P103" s="271"/>
      <c r="Q103" s="265" t="s">
        <v>146</v>
      </c>
      <c r="R103" s="265" t="s">
        <v>146</v>
      </c>
      <c r="S103" s="312" t="s">
        <v>146</v>
      </c>
      <c r="T103" s="111" t="s">
        <v>43</v>
      </c>
      <c r="U103" s="269" t="s">
        <v>4012</v>
      </c>
      <c r="V103" s="284">
        <v>44587</v>
      </c>
      <c r="W103" s="303" t="e">
        <f>+$D$4-E103</f>
        <v>#VALUE!</v>
      </c>
      <c r="X103" s="303" t="e">
        <f>$D$4-V103</f>
        <v>#VALUE!</v>
      </c>
      <c r="Y103" s="265" t="s">
        <v>1300</v>
      </c>
      <c r="Z103" s="265" t="s">
        <v>214</v>
      </c>
      <c r="AA103" s="265" t="s">
        <v>215</v>
      </c>
      <c r="AB103" s="265"/>
      <c r="AC103" s="304" t="s">
        <v>795</v>
      </c>
      <c r="AD103" s="285">
        <v>44589</v>
      </c>
      <c r="AE103" s="285"/>
      <c r="AF103" s="305" t="str">
        <f>+IF(AD103="","",TEXT(AD103,"mmm"))</f>
        <v>ene</v>
      </c>
      <c r="AG103" s="306">
        <f t="shared" si="33"/>
        <v>7</v>
      </c>
      <c r="AH103" s="307">
        <f t="shared" si="34"/>
        <v>2</v>
      </c>
      <c r="AI103" s="265" t="s">
        <v>258</v>
      </c>
      <c r="AJ103" s="265" t="s">
        <v>171</v>
      </c>
      <c r="AK103" s="277"/>
      <c r="AL103" s="277"/>
      <c r="AM103" s="309"/>
      <c r="AN103" s="269"/>
      <c r="AO103" s="277"/>
      <c r="AP103" s="309">
        <f t="shared" si="37"/>
        <v>500000000</v>
      </c>
      <c r="AQ103" s="289"/>
      <c r="AR103" s="289"/>
      <c r="AS103" s="277"/>
      <c r="AT103" s="260"/>
      <c r="AU103" s="260"/>
      <c r="AV103" s="200"/>
      <c r="AW103" s="200"/>
      <c r="AX103" s="200"/>
      <c r="AY103" s="200"/>
      <c r="AZ103" s="139">
        <f t="shared" si="36"/>
        <v>0</v>
      </c>
      <c r="BA103" s="200"/>
      <c r="BB103" s="203"/>
      <c r="BC103" s="95"/>
      <c r="BD103" s="2"/>
      <c r="BE103" s="2"/>
      <c r="BF103" s="160"/>
    </row>
    <row r="104" spans="2:58" ht="43.9" customHeight="1" x14ac:dyDescent="0.25">
      <c r="B104" s="100">
        <f t="shared" si="35"/>
        <v>86</v>
      </c>
      <c r="C104" s="110" t="s">
        <v>796</v>
      </c>
      <c r="D104" s="99" t="s">
        <v>28</v>
      </c>
      <c r="E104" s="140">
        <v>44582</v>
      </c>
      <c r="F104" s="268" t="s">
        <v>4431</v>
      </c>
      <c r="G104" s="99" t="s">
        <v>797</v>
      </c>
      <c r="H104" s="99" t="s">
        <v>798</v>
      </c>
      <c r="I104" s="96" t="s">
        <v>146</v>
      </c>
      <c r="J104" s="133" t="s">
        <v>799</v>
      </c>
      <c r="K104" s="341">
        <v>369071937</v>
      </c>
      <c r="L104" s="172" t="s">
        <v>1130</v>
      </c>
      <c r="M104" s="99" t="s">
        <v>3504</v>
      </c>
      <c r="N104" s="99"/>
      <c r="O104" s="99">
        <v>202201968</v>
      </c>
      <c r="P104" s="165">
        <v>37110000</v>
      </c>
      <c r="Q104" s="99" t="s">
        <v>146</v>
      </c>
      <c r="R104" s="99" t="s">
        <v>146</v>
      </c>
      <c r="S104" s="99"/>
      <c r="T104" s="111" t="s">
        <v>43</v>
      </c>
      <c r="U104" s="96" t="s">
        <v>503</v>
      </c>
      <c r="V104" s="97">
        <v>44582</v>
      </c>
      <c r="W104" s="166"/>
      <c r="X104" s="166"/>
      <c r="Y104" s="99"/>
      <c r="Z104" s="96" t="s">
        <v>168</v>
      </c>
      <c r="AA104" s="99" t="s">
        <v>169</v>
      </c>
      <c r="AB104" s="96" t="s">
        <v>800</v>
      </c>
      <c r="AC104" s="96"/>
      <c r="AD104" s="97">
        <v>44599</v>
      </c>
      <c r="AE104" s="362" t="s">
        <v>4431</v>
      </c>
      <c r="AF104" s="98"/>
      <c r="AG104" s="166">
        <f t="shared" si="33"/>
        <v>17</v>
      </c>
      <c r="AH104" s="166">
        <f t="shared" si="34"/>
        <v>17</v>
      </c>
      <c r="AI104" s="99" t="s">
        <v>258</v>
      </c>
      <c r="AJ104" s="96" t="s">
        <v>171</v>
      </c>
      <c r="AK104" s="99" t="s">
        <v>1131</v>
      </c>
      <c r="AL104" s="97">
        <v>44587</v>
      </c>
      <c r="AM104" s="214">
        <v>358665166</v>
      </c>
      <c r="AN104" s="96" t="s">
        <v>1100</v>
      </c>
      <c r="AO104" s="96"/>
      <c r="AP104" s="181">
        <f t="shared" si="37"/>
        <v>10406771</v>
      </c>
      <c r="AQ104" s="138"/>
      <c r="AR104" s="138"/>
      <c r="AS104" s="99" t="s">
        <v>146</v>
      </c>
      <c r="AT104" s="99" t="s">
        <v>1147</v>
      </c>
      <c r="AU104" s="138"/>
      <c r="AV104" s="99" t="s">
        <v>1127</v>
      </c>
      <c r="AW104" s="99" t="s">
        <v>1002</v>
      </c>
      <c r="AX104" s="99"/>
      <c r="AY104" s="167">
        <f t="shared" ref="AY104:AY108" si="38">+AP104/K104</f>
        <v>2.8197134370582067E-2</v>
      </c>
      <c r="AZ104" s="139">
        <f t="shared" si="36"/>
        <v>1</v>
      </c>
      <c r="BA104" s="139">
        <f>IF(T104="Invitación Privada",1,IF(T104="Invitación Pública",2,0))</f>
        <v>1</v>
      </c>
      <c r="BB104" s="132">
        <f>IF(AA104="CONTRATADO",IF(BA104=1,NETWORKDAYS.INTL(E104,AD104,1,[1]FESTIVOS!$B$3:$B$10)-1,AD104-E104))-BD104</f>
        <v>11</v>
      </c>
      <c r="BC104" s="157"/>
      <c r="BD104" s="162">
        <v>0</v>
      </c>
      <c r="BE104" s="382" t="s">
        <v>2052</v>
      </c>
    </row>
    <row r="105" spans="2:58" ht="43.9" customHeight="1" x14ac:dyDescent="0.25">
      <c r="B105" s="100">
        <f t="shared" si="35"/>
        <v>87</v>
      </c>
      <c r="C105" s="110" t="s">
        <v>801</v>
      </c>
      <c r="D105" s="99" t="s">
        <v>33</v>
      </c>
      <c r="E105" s="140">
        <v>44580</v>
      </c>
      <c r="F105" s="268" t="s">
        <v>4431</v>
      </c>
      <c r="G105" s="99" t="s">
        <v>302</v>
      </c>
      <c r="H105" s="99" t="s">
        <v>303</v>
      </c>
      <c r="I105" s="96" t="s">
        <v>146</v>
      </c>
      <c r="J105" s="133" t="s">
        <v>802</v>
      </c>
      <c r="K105" s="341">
        <v>143761000</v>
      </c>
      <c r="L105" s="96" t="s">
        <v>549</v>
      </c>
      <c r="M105" s="99" t="s">
        <v>305</v>
      </c>
      <c r="N105" s="99"/>
      <c r="O105" s="99">
        <v>202201972</v>
      </c>
      <c r="P105" s="165"/>
      <c r="Q105" s="99" t="s">
        <v>146</v>
      </c>
      <c r="R105" s="99" t="s">
        <v>146</v>
      </c>
      <c r="S105" s="99"/>
      <c r="T105" s="111" t="s">
        <v>43</v>
      </c>
      <c r="U105" s="96" t="s">
        <v>277</v>
      </c>
      <c r="V105" s="140">
        <v>44580</v>
      </c>
      <c r="W105" s="166"/>
      <c r="X105" s="166"/>
      <c r="Y105" s="99"/>
      <c r="Z105" s="96" t="s">
        <v>168</v>
      </c>
      <c r="AA105" s="99" t="s">
        <v>169</v>
      </c>
      <c r="AB105" s="96" t="s">
        <v>803</v>
      </c>
      <c r="AC105" s="96"/>
      <c r="AD105" s="97">
        <v>44599</v>
      </c>
      <c r="AE105" s="362" t="s">
        <v>4431</v>
      </c>
      <c r="AF105" s="98"/>
      <c r="AG105" s="166">
        <f t="shared" si="33"/>
        <v>19</v>
      </c>
      <c r="AH105" s="166">
        <f t="shared" si="34"/>
        <v>19</v>
      </c>
      <c r="AI105" s="99" t="s">
        <v>258</v>
      </c>
      <c r="AJ105" s="96" t="s">
        <v>171</v>
      </c>
      <c r="AK105" s="99" t="s">
        <v>1132</v>
      </c>
      <c r="AL105" s="97">
        <v>44588</v>
      </c>
      <c r="AM105" s="214">
        <v>143641925</v>
      </c>
      <c r="AN105" s="96" t="s">
        <v>1133</v>
      </c>
      <c r="AO105" s="96"/>
      <c r="AP105" s="181">
        <f t="shared" si="37"/>
        <v>119075</v>
      </c>
      <c r="AQ105" s="138"/>
      <c r="AR105" s="138"/>
      <c r="AS105" s="99"/>
      <c r="AT105" s="99"/>
      <c r="AU105" s="138"/>
      <c r="AV105" s="99" t="s">
        <v>174</v>
      </c>
      <c r="AW105" s="99" t="s">
        <v>175</v>
      </c>
      <c r="AX105" s="99"/>
      <c r="AY105" s="167">
        <f t="shared" si="38"/>
        <v>8.2828444432078241E-4</v>
      </c>
      <c r="AZ105" s="139">
        <f t="shared" si="36"/>
        <v>1</v>
      </c>
      <c r="BA105" s="139">
        <f>IF(T105="Invitación Privada",1,IF(T105="Invitación Pública",2,0))</f>
        <v>1</v>
      </c>
      <c r="BB105" s="132">
        <f>IF(AA105="CONTRATADO",IF(BA105=1,NETWORKDAYS.INTL(E105,AD105,1,[1]FESTIVOS!$B$3:$B$10)-1,AD105-E105))-BD105</f>
        <v>13</v>
      </c>
      <c r="BC105" s="157"/>
      <c r="BD105" s="162">
        <v>0</v>
      </c>
      <c r="BE105" s="382" t="s">
        <v>2052</v>
      </c>
    </row>
    <row r="106" spans="2:58" ht="43.9" customHeight="1" x14ac:dyDescent="0.25">
      <c r="B106" s="100">
        <f t="shared" si="35"/>
        <v>88</v>
      </c>
      <c r="C106" s="110" t="s">
        <v>804</v>
      </c>
      <c r="D106" s="99" t="s">
        <v>32</v>
      </c>
      <c r="E106" s="140">
        <v>44585</v>
      </c>
      <c r="F106" s="268" t="s">
        <v>4431</v>
      </c>
      <c r="G106" s="96" t="s">
        <v>805</v>
      </c>
      <c r="H106" s="96" t="s">
        <v>806</v>
      </c>
      <c r="I106" s="96" t="s">
        <v>146</v>
      </c>
      <c r="J106" s="133" t="s">
        <v>807</v>
      </c>
      <c r="K106" s="341">
        <v>399937342</v>
      </c>
      <c r="L106" s="96" t="s">
        <v>291</v>
      </c>
      <c r="M106" s="96" t="s">
        <v>1134</v>
      </c>
      <c r="N106" s="96"/>
      <c r="O106" s="99">
        <v>202202112</v>
      </c>
      <c r="P106" s="165">
        <v>399937342</v>
      </c>
      <c r="Q106" s="99" t="s">
        <v>146</v>
      </c>
      <c r="R106" s="99" t="s">
        <v>146</v>
      </c>
      <c r="S106" s="99"/>
      <c r="T106" s="111" t="s">
        <v>43</v>
      </c>
      <c r="U106" s="96" t="s">
        <v>161</v>
      </c>
      <c r="V106" s="140">
        <v>44585</v>
      </c>
      <c r="W106" s="166"/>
      <c r="X106" s="166"/>
      <c r="Y106" s="99"/>
      <c r="Z106" s="96" t="s">
        <v>168</v>
      </c>
      <c r="AA106" s="99" t="s">
        <v>169</v>
      </c>
      <c r="AB106" s="96" t="s">
        <v>808</v>
      </c>
      <c r="AC106" s="96"/>
      <c r="AD106" s="97">
        <v>44601</v>
      </c>
      <c r="AE106" s="362" t="s">
        <v>4431</v>
      </c>
      <c r="AF106" s="98"/>
      <c r="AG106" s="166">
        <f t="shared" si="33"/>
        <v>16</v>
      </c>
      <c r="AH106" s="166">
        <f t="shared" si="34"/>
        <v>16</v>
      </c>
      <c r="AI106" s="99" t="s">
        <v>258</v>
      </c>
      <c r="AJ106" s="96" t="s">
        <v>491</v>
      </c>
      <c r="AK106" s="99" t="s">
        <v>1135</v>
      </c>
      <c r="AL106" s="97">
        <v>44588</v>
      </c>
      <c r="AM106" s="214">
        <v>399912352</v>
      </c>
      <c r="AN106" s="96" t="s">
        <v>1136</v>
      </c>
      <c r="AO106" s="96"/>
      <c r="AP106" s="181">
        <f t="shared" si="37"/>
        <v>24990</v>
      </c>
      <c r="AQ106" s="138"/>
      <c r="AR106" s="138"/>
      <c r="AS106" s="99" t="s">
        <v>1148</v>
      </c>
      <c r="AT106" s="97">
        <v>44565</v>
      </c>
      <c r="AU106" s="138"/>
      <c r="AV106" s="99" t="s">
        <v>174</v>
      </c>
      <c r="AW106" s="99" t="s">
        <v>175</v>
      </c>
      <c r="AX106" s="99"/>
      <c r="AY106" s="167">
        <f t="shared" si="38"/>
        <v>6.2484787929605235E-5</v>
      </c>
      <c r="AZ106" s="139">
        <f t="shared" si="36"/>
        <v>1</v>
      </c>
      <c r="BA106" s="139">
        <f>IF(T106="Invitación Privada",1,IF(T106="Invitación Pública",2,0))</f>
        <v>1</v>
      </c>
      <c r="BB106" s="132">
        <f>IF(AA106="CONTRATADO",IF(BA106=1,NETWORKDAYS.INTL(E106,AD106,1,[1]FESTIVOS!$B$3:$B$10)-1,AD106-E106))-BD106</f>
        <v>12</v>
      </c>
      <c r="BC106" s="157"/>
      <c r="BD106" s="162">
        <v>0</v>
      </c>
      <c r="BE106" s="382" t="s">
        <v>2052</v>
      </c>
      <c r="BF106" s="160"/>
    </row>
    <row r="107" spans="2:58" ht="43.9" customHeight="1" x14ac:dyDescent="0.25">
      <c r="B107" s="100">
        <f t="shared" si="35"/>
        <v>89</v>
      </c>
      <c r="C107" s="110" t="s">
        <v>809</v>
      </c>
      <c r="D107" s="96" t="s">
        <v>32</v>
      </c>
      <c r="E107" s="140">
        <v>44585</v>
      </c>
      <c r="F107" s="268" t="s">
        <v>4431</v>
      </c>
      <c r="G107" s="96" t="s">
        <v>810</v>
      </c>
      <c r="H107" s="96" t="s">
        <v>811</v>
      </c>
      <c r="I107" s="96" t="s">
        <v>146</v>
      </c>
      <c r="J107" s="133" t="s">
        <v>812</v>
      </c>
      <c r="K107" s="341">
        <v>499087585</v>
      </c>
      <c r="L107" s="172" t="s">
        <v>1105</v>
      </c>
      <c r="M107" s="96" t="s">
        <v>1137</v>
      </c>
      <c r="N107" s="96"/>
      <c r="O107" s="99">
        <v>202201764</v>
      </c>
      <c r="P107" s="165">
        <v>499087585</v>
      </c>
      <c r="Q107" s="96" t="s">
        <v>146</v>
      </c>
      <c r="R107" s="96" t="s">
        <v>146</v>
      </c>
      <c r="S107" s="96"/>
      <c r="T107" s="111" t="s">
        <v>43</v>
      </c>
      <c r="U107" s="96" t="s">
        <v>161</v>
      </c>
      <c r="V107" s="140">
        <v>44585</v>
      </c>
      <c r="W107" s="166"/>
      <c r="X107" s="166"/>
      <c r="Y107" s="96"/>
      <c r="Z107" s="96" t="s">
        <v>168</v>
      </c>
      <c r="AA107" s="96" t="s">
        <v>169</v>
      </c>
      <c r="AB107" s="96" t="s">
        <v>808</v>
      </c>
      <c r="AC107" s="96"/>
      <c r="AD107" s="141">
        <v>44595</v>
      </c>
      <c r="AE107" s="362" t="s">
        <v>4431</v>
      </c>
      <c r="AF107" s="98"/>
      <c r="AG107" s="166">
        <f t="shared" si="33"/>
        <v>10</v>
      </c>
      <c r="AH107" s="166">
        <f t="shared" si="34"/>
        <v>10</v>
      </c>
      <c r="AI107" s="96" t="s">
        <v>258</v>
      </c>
      <c r="AJ107" s="96" t="s">
        <v>155</v>
      </c>
      <c r="AK107" s="96" t="s">
        <v>1138</v>
      </c>
      <c r="AL107" s="141">
        <v>44588</v>
      </c>
      <c r="AM107" s="214">
        <v>485124920</v>
      </c>
      <c r="AN107" s="96" t="s">
        <v>1139</v>
      </c>
      <c r="AO107" s="96"/>
      <c r="AP107" s="181">
        <f t="shared" si="37"/>
        <v>13962665</v>
      </c>
      <c r="AQ107" s="138"/>
      <c r="AR107" s="138"/>
      <c r="AS107" s="96"/>
      <c r="AT107" s="96"/>
      <c r="AU107" s="138"/>
      <c r="AV107" s="96" t="s">
        <v>174</v>
      </c>
      <c r="AW107" s="96" t="s">
        <v>175</v>
      </c>
      <c r="AX107" s="96"/>
      <c r="AY107" s="167">
        <f t="shared" si="38"/>
        <v>2.7976382141423135E-2</v>
      </c>
      <c r="AZ107" s="139">
        <f t="shared" si="36"/>
        <v>1</v>
      </c>
      <c r="BA107" s="139">
        <f>IF(T107="Invitación Privada",1,IF(T107="Invitación Pública",2,0))</f>
        <v>1</v>
      </c>
      <c r="BB107" s="132">
        <f>IF(AA107="CONTRATADO",IF(BA107=1,NETWORKDAYS.INTL(E107,AD107,1,[1]FESTIVOS!$B$3:$B$10)-1,AD107-E107))-BD107</f>
        <v>8</v>
      </c>
      <c r="BC107" s="157"/>
      <c r="BD107" s="162">
        <v>0</v>
      </c>
      <c r="BE107" s="382" t="s">
        <v>2052</v>
      </c>
    </row>
    <row r="108" spans="2:58" ht="43.9" customHeight="1" x14ac:dyDescent="0.25">
      <c r="B108" s="100">
        <f t="shared" si="35"/>
        <v>90</v>
      </c>
      <c r="C108" s="110" t="s">
        <v>813</v>
      </c>
      <c r="D108" s="99" t="s">
        <v>33</v>
      </c>
      <c r="E108" s="140">
        <v>44582</v>
      </c>
      <c r="F108" s="268" t="s">
        <v>4431</v>
      </c>
      <c r="G108" s="96" t="s">
        <v>814</v>
      </c>
      <c r="H108" s="96" t="s">
        <v>815</v>
      </c>
      <c r="I108" s="96" t="s">
        <v>146</v>
      </c>
      <c r="J108" s="133" t="s">
        <v>816</v>
      </c>
      <c r="K108" s="341">
        <v>399966126</v>
      </c>
      <c r="L108" s="96" t="s">
        <v>328</v>
      </c>
      <c r="M108" s="99" t="s">
        <v>1140</v>
      </c>
      <c r="N108" s="99"/>
      <c r="O108" s="99">
        <v>202201980</v>
      </c>
      <c r="P108" s="165"/>
      <c r="Q108" s="99" t="s">
        <v>146</v>
      </c>
      <c r="R108" s="99" t="s">
        <v>146</v>
      </c>
      <c r="S108" s="99"/>
      <c r="T108" s="111" t="s">
        <v>43</v>
      </c>
      <c r="U108" s="96" t="s">
        <v>401</v>
      </c>
      <c r="V108" s="140">
        <v>44582</v>
      </c>
      <c r="W108" s="166"/>
      <c r="X108" s="166"/>
      <c r="Y108" s="99"/>
      <c r="Z108" s="96" t="s">
        <v>168</v>
      </c>
      <c r="AA108" s="99" t="s">
        <v>169</v>
      </c>
      <c r="AB108" s="96" t="s">
        <v>817</v>
      </c>
      <c r="AC108" s="96"/>
      <c r="AD108" s="97">
        <v>44603</v>
      </c>
      <c r="AE108" s="362" t="s">
        <v>4431</v>
      </c>
      <c r="AF108" s="98"/>
      <c r="AG108" s="166">
        <f t="shared" si="33"/>
        <v>21</v>
      </c>
      <c r="AH108" s="166">
        <f t="shared" si="34"/>
        <v>21</v>
      </c>
      <c r="AI108" s="99" t="s">
        <v>241</v>
      </c>
      <c r="AJ108" s="96" t="s">
        <v>155</v>
      </c>
      <c r="AK108" s="99" t="s">
        <v>1141</v>
      </c>
      <c r="AL108" s="97">
        <v>44589</v>
      </c>
      <c r="AM108" s="214">
        <v>399966126</v>
      </c>
      <c r="AN108" s="96" t="s">
        <v>1142</v>
      </c>
      <c r="AO108" s="96"/>
      <c r="AP108" s="181">
        <f t="shared" si="37"/>
        <v>0</v>
      </c>
      <c r="AQ108" s="138"/>
      <c r="AR108" s="138"/>
      <c r="AS108" s="99" t="s">
        <v>146</v>
      </c>
      <c r="AT108" s="99" t="s">
        <v>146</v>
      </c>
      <c r="AU108" s="138"/>
      <c r="AV108" s="99" t="s">
        <v>174</v>
      </c>
      <c r="AW108" s="99" t="s">
        <v>175</v>
      </c>
      <c r="AX108" s="99"/>
      <c r="AY108" s="167">
        <f t="shared" si="38"/>
        <v>0</v>
      </c>
      <c r="AZ108" s="139">
        <f t="shared" si="36"/>
        <v>1</v>
      </c>
      <c r="BA108" s="139">
        <f>IF(T108="Invitación Privada",1,IF(T108="Invitación Pública",2,0))</f>
        <v>1</v>
      </c>
      <c r="BB108" s="132">
        <f>IF(AA108="CONTRATADO",IF(BA108=1,NETWORKDAYS.INTL(E108,AD108,1,[1]FESTIVOS!$B$3:$B$10)-1,AD108-E108))-BD108</f>
        <v>15</v>
      </c>
      <c r="BC108" s="157"/>
      <c r="BD108" s="162">
        <v>0</v>
      </c>
      <c r="BE108" s="382" t="s">
        <v>2052</v>
      </c>
      <c r="BF108" s="160"/>
    </row>
    <row r="109" spans="2:58" ht="43.9" customHeight="1" x14ac:dyDescent="0.25">
      <c r="B109" s="100">
        <f t="shared" si="35"/>
        <v>91</v>
      </c>
      <c r="C109" s="293" t="s">
        <v>818</v>
      </c>
      <c r="D109" s="312" t="s">
        <v>32</v>
      </c>
      <c r="E109" s="272">
        <v>44585</v>
      </c>
      <c r="F109" s="268" t="s">
        <v>4431</v>
      </c>
      <c r="G109" s="269" t="s">
        <v>819</v>
      </c>
      <c r="H109" s="265" t="s">
        <v>820</v>
      </c>
      <c r="I109" s="265" t="s">
        <v>146</v>
      </c>
      <c r="J109" s="269" t="s">
        <v>821</v>
      </c>
      <c r="K109" s="342">
        <v>26610066</v>
      </c>
      <c r="L109" s="282"/>
      <c r="M109" s="265" t="s">
        <v>822</v>
      </c>
      <c r="N109" s="302" t="str">
        <f>MID(M109,5,3)</f>
        <v>IP-</v>
      </c>
      <c r="O109" s="265">
        <v>202202106</v>
      </c>
      <c r="P109" s="271"/>
      <c r="Q109" s="265" t="s">
        <v>146</v>
      </c>
      <c r="R109" s="265" t="s">
        <v>146</v>
      </c>
      <c r="S109" s="312" t="s">
        <v>146</v>
      </c>
      <c r="T109" s="111" t="s">
        <v>43</v>
      </c>
      <c r="U109" s="269" t="s">
        <v>572</v>
      </c>
      <c r="V109" s="284">
        <v>44585</v>
      </c>
      <c r="W109" s="303" t="e">
        <f>+$D$4-E109</f>
        <v>#VALUE!</v>
      </c>
      <c r="X109" s="303" t="e">
        <f>$D$4-V109</f>
        <v>#VALUE!</v>
      </c>
      <c r="Y109" s="265" t="s">
        <v>1300</v>
      </c>
      <c r="Z109" s="265" t="s">
        <v>214</v>
      </c>
      <c r="AA109" s="265" t="s">
        <v>215</v>
      </c>
      <c r="AB109" s="265"/>
      <c r="AC109" s="304" t="s">
        <v>823</v>
      </c>
      <c r="AD109" s="285">
        <v>44609</v>
      </c>
      <c r="AE109" s="285"/>
      <c r="AF109" s="305" t="str">
        <f>+IF(AD109="","",TEXT(AD109,"mmm"))</f>
        <v>feb</v>
      </c>
      <c r="AG109" s="306">
        <f t="shared" si="33"/>
        <v>24</v>
      </c>
      <c r="AH109" s="307">
        <f t="shared" si="34"/>
        <v>24</v>
      </c>
      <c r="AI109" s="265" t="s">
        <v>258</v>
      </c>
      <c r="AJ109" s="265" t="s">
        <v>171</v>
      </c>
      <c r="AK109" s="295"/>
      <c r="AL109" s="295"/>
      <c r="AM109" s="309"/>
      <c r="AN109" s="269"/>
      <c r="AO109" s="277"/>
      <c r="AP109" s="309">
        <f t="shared" si="37"/>
        <v>26610066</v>
      </c>
      <c r="AQ109" s="289"/>
      <c r="AR109" s="289"/>
      <c r="AS109" s="277"/>
      <c r="AT109" s="260"/>
      <c r="AU109" s="260"/>
      <c r="AV109" s="200"/>
      <c r="AW109" s="200"/>
      <c r="AX109" s="200"/>
      <c r="AY109" s="200"/>
      <c r="AZ109" s="139">
        <f t="shared" si="36"/>
        <v>1</v>
      </c>
      <c r="BA109" s="200"/>
      <c r="BB109" s="203"/>
      <c r="BC109" s="95"/>
      <c r="BD109" s="2"/>
      <c r="BE109" s="2"/>
      <c r="BF109" s="160"/>
    </row>
    <row r="110" spans="2:58" ht="43.9" customHeight="1" x14ac:dyDescent="0.25">
      <c r="B110" s="100">
        <f t="shared" si="35"/>
        <v>92</v>
      </c>
      <c r="C110" s="110" t="s">
        <v>825</v>
      </c>
      <c r="D110" s="96" t="s">
        <v>32</v>
      </c>
      <c r="E110" s="140">
        <v>44585</v>
      </c>
      <c r="F110" s="268" t="s">
        <v>4431</v>
      </c>
      <c r="G110" s="96" t="s">
        <v>826</v>
      </c>
      <c r="H110" s="96" t="s">
        <v>827</v>
      </c>
      <c r="I110" s="96" t="s">
        <v>146</v>
      </c>
      <c r="J110" s="133" t="s">
        <v>1143</v>
      </c>
      <c r="K110" s="341">
        <v>70583125</v>
      </c>
      <c r="L110" s="96" t="s">
        <v>328</v>
      </c>
      <c r="M110" s="96" t="s">
        <v>1144</v>
      </c>
      <c r="N110" s="96"/>
      <c r="O110" s="99">
        <v>202201916</v>
      </c>
      <c r="P110" s="165">
        <v>152821240</v>
      </c>
      <c r="Q110" s="96" t="s">
        <v>146</v>
      </c>
      <c r="R110" s="96" t="s">
        <v>146</v>
      </c>
      <c r="S110" s="96"/>
      <c r="T110" s="111" t="s">
        <v>43</v>
      </c>
      <c r="U110" s="96" t="s">
        <v>452</v>
      </c>
      <c r="V110" s="140">
        <v>44585</v>
      </c>
      <c r="W110" s="166"/>
      <c r="X110" s="166"/>
      <c r="Y110" s="96"/>
      <c r="Z110" s="96" t="s">
        <v>168</v>
      </c>
      <c r="AA110" s="96" t="s">
        <v>169</v>
      </c>
      <c r="AB110" s="96" t="s">
        <v>829</v>
      </c>
      <c r="AC110" s="96"/>
      <c r="AD110" s="141">
        <v>44600</v>
      </c>
      <c r="AE110" s="362" t="s">
        <v>4431</v>
      </c>
      <c r="AF110" s="98"/>
      <c r="AG110" s="166">
        <f t="shared" si="33"/>
        <v>15</v>
      </c>
      <c r="AH110" s="166">
        <f t="shared" si="34"/>
        <v>15</v>
      </c>
      <c r="AI110" s="96" t="s">
        <v>258</v>
      </c>
      <c r="AJ110" s="96" t="s">
        <v>830</v>
      </c>
      <c r="AK110" s="96" t="s">
        <v>1145</v>
      </c>
      <c r="AL110" s="141">
        <v>44589</v>
      </c>
      <c r="AM110" s="214">
        <v>70583125</v>
      </c>
      <c r="AN110" s="96" t="s">
        <v>1146</v>
      </c>
      <c r="AO110" s="96"/>
      <c r="AP110" s="181">
        <f t="shared" si="37"/>
        <v>0</v>
      </c>
      <c r="AQ110" s="138"/>
      <c r="AR110" s="138"/>
      <c r="AS110" s="96" t="s">
        <v>1149</v>
      </c>
      <c r="AT110" s="141">
        <v>44580</v>
      </c>
      <c r="AU110" s="138"/>
      <c r="AV110" s="96" t="s">
        <v>174</v>
      </c>
      <c r="AW110" s="96" t="s">
        <v>175</v>
      </c>
      <c r="AX110" s="96"/>
      <c r="AY110" s="167">
        <f>+AP110/K110</f>
        <v>0</v>
      </c>
      <c r="AZ110" s="139">
        <f t="shared" si="36"/>
        <v>1</v>
      </c>
      <c r="BA110" s="139">
        <f>IF(T110="Invitación Privada",1,IF(T110="Invitación Pública",2,0))</f>
        <v>1</v>
      </c>
      <c r="BB110" s="132">
        <f>IF(AA110="CONTRATADO",IF(BA110=1,NETWORKDAYS.INTL(E110,AD110,1,[1]FESTIVOS!$B$3:$B$10)-1,AD110-E110))-BD110</f>
        <v>11</v>
      </c>
      <c r="BC110" s="157"/>
      <c r="BD110" s="162">
        <v>0</v>
      </c>
      <c r="BE110" s="382" t="s">
        <v>2052</v>
      </c>
      <c r="BF110" s="160"/>
    </row>
    <row r="111" spans="2:58" ht="43.9" customHeight="1" x14ac:dyDescent="0.25">
      <c r="B111" s="100">
        <f t="shared" si="35"/>
        <v>93</v>
      </c>
      <c r="C111" s="293" t="s">
        <v>831</v>
      </c>
      <c r="D111" s="265" t="s">
        <v>332</v>
      </c>
      <c r="E111" s="272">
        <v>44585</v>
      </c>
      <c r="F111" s="268" t="s">
        <v>4431</v>
      </c>
      <c r="G111" s="269" t="s">
        <v>832</v>
      </c>
      <c r="H111" s="265" t="s">
        <v>833</v>
      </c>
      <c r="I111" s="265" t="s">
        <v>146</v>
      </c>
      <c r="J111" s="269" t="s">
        <v>834</v>
      </c>
      <c r="K111" s="342">
        <v>13301761</v>
      </c>
      <c r="L111" s="282"/>
      <c r="M111" s="265"/>
      <c r="N111" s="302" t="str">
        <f>MID(M111,5,3)</f>
        <v/>
      </c>
      <c r="O111" s="265">
        <v>202201822</v>
      </c>
      <c r="P111" s="271"/>
      <c r="Q111" s="265" t="s">
        <v>146</v>
      </c>
      <c r="R111" s="265" t="s">
        <v>146</v>
      </c>
      <c r="S111" s="312" t="s">
        <v>146</v>
      </c>
      <c r="T111" s="280" t="str">
        <f>(IF(N111="IPU","INVITACION PUBLICA",(IF(N111="IP-","INVITACION PRIVADA"," "))))</f>
        <v xml:space="preserve"> </v>
      </c>
      <c r="U111" s="269" t="s">
        <v>401</v>
      </c>
      <c r="V111" s="284">
        <v>44585</v>
      </c>
      <c r="W111" s="303" t="e">
        <f>+$D$4-E111</f>
        <v>#VALUE!</v>
      </c>
      <c r="X111" s="303" t="e">
        <f>$D$4-V111</f>
        <v>#VALUE!</v>
      </c>
      <c r="Y111" s="265" t="s">
        <v>1300</v>
      </c>
      <c r="Z111" s="265" t="s">
        <v>214</v>
      </c>
      <c r="AA111" s="265" t="s">
        <v>215</v>
      </c>
      <c r="AB111" s="265"/>
      <c r="AC111" s="304" t="s">
        <v>835</v>
      </c>
      <c r="AD111" s="285">
        <v>44589</v>
      </c>
      <c r="AE111" s="285"/>
      <c r="AF111" s="305" t="str">
        <f>+IF(AD111="","",TEXT(AD111,"mmm"))</f>
        <v>ene</v>
      </c>
      <c r="AG111" s="306">
        <f t="shared" si="33"/>
        <v>4</v>
      </c>
      <c r="AH111" s="307">
        <f t="shared" si="34"/>
        <v>4</v>
      </c>
      <c r="AI111" s="265" t="s">
        <v>258</v>
      </c>
      <c r="AJ111" s="265" t="s">
        <v>171</v>
      </c>
      <c r="AK111" s="277"/>
      <c r="AL111" s="277"/>
      <c r="AM111" s="309"/>
      <c r="AN111" s="269"/>
      <c r="AO111" s="277"/>
      <c r="AP111" s="309">
        <f t="shared" si="37"/>
        <v>13301761</v>
      </c>
      <c r="AQ111" s="289"/>
      <c r="AR111" s="289"/>
      <c r="AS111" s="277"/>
      <c r="AT111" s="260"/>
      <c r="AU111" s="260"/>
      <c r="AV111" s="200"/>
      <c r="AW111" s="200"/>
      <c r="AX111" s="200"/>
      <c r="AY111" s="200"/>
      <c r="AZ111" s="139">
        <f t="shared" si="36"/>
        <v>0</v>
      </c>
      <c r="BA111" s="200"/>
      <c r="BB111" s="203"/>
      <c r="BC111" s="95"/>
      <c r="BD111" s="2"/>
      <c r="BE111" s="2"/>
      <c r="BF111" s="160"/>
    </row>
    <row r="112" spans="2:58" ht="43.9" customHeight="1" x14ac:dyDescent="0.25">
      <c r="B112" s="100">
        <f t="shared" si="35"/>
        <v>94</v>
      </c>
      <c r="C112" s="110" t="s">
        <v>836</v>
      </c>
      <c r="D112" s="99" t="s">
        <v>359</v>
      </c>
      <c r="E112" s="140">
        <v>44585</v>
      </c>
      <c r="F112" s="268" t="s">
        <v>4431</v>
      </c>
      <c r="G112" s="96" t="s">
        <v>832</v>
      </c>
      <c r="H112" s="96" t="s">
        <v>837</v>
      </c>
      <c r="I112" s="96" t="s">
        <v>146</v>
      </c>
      <c r="J112" s="133" t="s">
        <v>838</v>
      </c>
      <c r="K112" s="341">
        <v>300000000</v>
      </c>
      <c r="L112" s="96" t="s">
        <v>328</v>
      </c>
      <c r="M112" s="99" t="s">
        <v>839</v>
      </c>
      <c r="N112" s="99"/>
      <c r="O112" s="99">
        <v>202201822</v>
      </c>
      <c r="P112" s="165">
        <v>300000000</v>
      </c>
      <c r="Q112" s="99" t="s">
        <v>146</v>
      </c>
      <c r="R112" s="99" t="s">
        <v>146</v>
      </c>
      <c r="S112" s="99"/>
      <c r="T112" s="111" t="s">
        <v>43</v>
      </c>
      <c r="U112" s="96" t="s">
        <v>206</v>
      </c>
      <c r="V112" s="140">
        <v>44585</v>
      </c>
      <c r="W112" s="166"/>
      <c r="X112" s="166"/>
      <c r="Y112" s="99"/>
      <c r="Z112" s="96" t="s">
        <v>168</v>
      </c>
      <c r="AA112" s="99" t="s">
        <v>169</v>
      </c>
      <c r="AB112" s="96" t="s">
        <v>840</v>
      </c>
      <c r="AC112" s="96"/>
      <c r="AD112" s="97">
        <v>44603</v>
      </c>
      <c r="AE112" s="362" t="s">
        <v>4431</v>
      </c>
      <c r="AF112" s="98"/>
      <c r="AG112" s="166">
        <f t="shared" si="33"/>
        <v>18</v>
      </c>
      <c r="AH112" s="166">
        <f t="shared" si="34"/>
        <v>18</v>
      </c>
      <c r="AI112" s="99" t="s">
        <v>258</v>
      </c>
      <c r="AJ112" s="96" t="s">
        <v>171</v>
      </c>
      <c r="AK112" s="99" t="s">
        <v>1150</v>
      </c>
      <c r="AL112" s="97">
        <v>44589</v>
      </c>
      <c r="AM112" s="214">
        <v>294000000</v>
      </c>
      <c r="AN112" s="96" t="s">
        <v>1151</v>
      </c>
      <c r="AO112" s="96"/>
      <c r="AP112" s="181">
        <f t="shared" si="37"/>
        <v>6000000</v>
      </c>
      <c r="AQ112" s="138"/>
      <c r="AR112" s="138"/>
      <c r="AS112" s="99" t="s">
        <v>146</v>
      </c>
      <c r="AT112" s="99" t="s">
        <v>146</v>
      </c>
      <c r="AU112" s="138"/>
      <c r="AV112" s="99" t="s">
        <v>174</v>
      </c>
      <c r="AW112" s="99" t="s">
        <v>175</v>
      </c>
      <c r="AX112" s="99"/>
      <c r="AY112" s="167">
        <f t="shared" ref="AY112:AY123" si="39">+AP112/K112</f>
        <v>0.02</v>
      </c>
      <c r="AZ112" s="139">
        <f t="shared" si="36"/>
        <v>0</v>
      </c>
      <c r="BA112" s="139">
        <f t="shared" ref="BA112:BA123" si="40">IF(T112="Invitación Privada",1,IF(T112="Invitación Pública",2,0))</f>
        <v>1</v>
      </c>
      <c r="BB112" s="132">
        <f>IF(AA112="CONTRATADO",IF(BA112=1,NETWORKDAYS.INTL(E112,AD112,1,[1]FESTIVOS!$B$3:$B$10)-1,AD112-E112))-BD112</f>
        <v>14</v>
      </c>
      <c r="BC112" s="157"/>
      <c r="BD112" s="162">
        <v>0</v>
      </c>
      <c r="BE112" s="382" t="s">
        <v>2052</v>
      </c>
      <c r="BF112" s="160"/>
    </row>
    <row r="113" spans="2:58" ht="43.9" customHeight="1" x14ac:dyDescent="0.25">
      <c r="B113" s="100">
        <f t="shared" si="35"/>
        <v>95</v>
      </c>
      <c r="C113" s="110" t="s">
        <v>841</v>
      </c>
      <c r="D113" s="99" t="s">
        <v>359</v>
      </c>
      <c r="E113" s="140">
        <v>44582</v>
      </c>
      <c r="F113" s="268" t="s">
        <v>4431</v>
      </c>
      <c r="G113" s="96" t="s">
        <v>842</v>
      </c>
      <c r="H113" s="96" t="s">
        <v>843</v>
      </c>
      <c r="I113" s="96" t="s">
        <v>146</v>
      </c>
      <c r="J113" s="133" t="s">
        <v>844</v>
      </c>
      <c r="K113" s="341">
        <v>264903917</v>
      </c>
      <c r="L113" s="96" t="s">
        <v>1152</v>
      </c>
      <c r="M113" s="99" t="s">
        <v>845</v>
      </c>
      <c r="N113" s="99"/>
      <c r="O113" s="99">
        <v>202202132</v>
      </c>
      <c r="P113" s="165">
        <v>265000000</v>
      </c>
      <c r="Q113" s="99" t="s">
        <v>146</v>
      </c>
      <c r="R113" s="99" t="s">
        <v>146</v>
      </c>
      <c r="S113" s="99"/>
      <c r="T113" s="111" t="s">
        <v>43</v>
      </c>
      <c r="U113" s="96" t="s">
        <v>206</v>
      </c>
      <c r="V113" s="140">
        <v>44582</v>
      </c>
      <c r="W113" s="166"/>
      <c r="X113" s="166"/>
      <c r="Y113" s="99"/>
      <c r="Z113" s="96" t="s">
        <v>168</v>
      </c>
      <c r="AA113" s="99" t="s">
        <v>169</v>
      </c>
      <c r="AB113" s="96" t="s">
        <v>846</v>
      </c>
      <c r="AC113" s="96"/>
      <c r="AD113" s="97">
        <v>44600</v>
      </c>
      <c r="AE113" s="362" t="s">
        <v>4431</v>
      </c>
      <c r="AF113" s="98"/>
      <c r="AG113" s="166">
        <f t="shared" si="33"/>
        <v>18</v>
      </c>
      <c r="AH113" s="166">
        <f t="shared" si="34"/>
        <v>18</v>
      </c>
      <c r="AI113" s="99" t="s">
        <v>258</v>
      </c>
      <c r="AJ113" s="96" t="s">
        <v>171</v>
      </c>
      <c r="AK113" s="99" t="s">
        <v>1153</v>
      </c>
      <c r="AL113" s="97">
        <v>44589</v>
      </c>
      <c r="AM113" s="214">
        <v>264903916</v>
      </c>
      <c r="AN113" s="96" t="s">
        <v>1154</v>
      </c>
      <c r="AO113" s="96"/>
      <c r="AP113" s="181">
        <f t="shared" si="37"/>
        <v>1</v>
      </c>
      <c r="AQ113" s="138"/>
      <c r="AR113" s="138"/>
      <c r="AS113" s="99" t="s">
        <v>146</v>
      </c>
      <c r="AT113" s="99" t="s">
        <v>146</v>
      </c>
      <c r="AU113" s="138"/>
      <c r="AV113" s="99" t="s">
        <v>174</v>
      </c>
      <c r="AW113" s="99" t="s">
        <v>175</v>
      </c>
      <c r="AX113" s="99"/>
      <c r="AY113" s="167">
        <f t="shared" si="39"/>
        <v>3.7749536183717509E-9</v>
      </c>
      <c r="AZ113" s="139">
        <f t="shared" si="36"/>
        <v>0</v>
      </c>
      <c r="BA113" s="139">
        <f t="shared" si="40"/>
        <v>1</v>
      </c>
      <c r="BB113" s="132">
        <f>IF(AA113="CONTRATADO",IF(BA113=1,NETWORKDAYS.INTL(E113,AD113,1,[1]FESTIVOS!$B$3:$B$10)-1,AD113-E113))-BD113</f>
        <v>12</v>
      </c>
      <c r="BC113" s="157"/>
      <c r="BD113" s="162">
        <v>0</v>
      </c>
      <c r="BE113" s="382" t="s">
        <v>2052</v>
      </c>
    </row>
    <row r="114" spans="2:58" ht="43.9" customHeight="1" x14ac:dyDescent="0.25">
      <c r="B114" s="100">
        <f t="shared" si="35"/>
        <v>96</v>
      </c>
      <c r="C114" s="110" t="s">
        <v>847</v>
      </c>
      <c r="D114" s="99" t="s">
        <v>359</v>
      </c>
      <c r="E114" s="140">
        <v>44582</v>
      </c>
      <c r="F114" s="268" t="s">
        <v>4431</v>
      </c>
      <c r="G114" s="96" t="s">
        <v>255</v>
      </c>
      <c r="H114" s="96" t="s">
        <v>848</v>
      </c>
      <c r="I114" s="96" t="s">
        <v>146</v>
      </c>
      <c r="J114" s="133" t="s">
        <v>849</v>
      </c>
      <c r="K114" s="341">
        <v>499990420</v>
      </c>
      <c r="L114" s="96" t="s">
        <v>412</v>
      </c>
      <c r="M114" s="99" t="s">
        <v>850</v>
      </c>
      <c r="N114" s="99"/>
      <c r="O114" s="99">
        <v>202202154</v>
      </c>
      <c r="P114" s="165">
        <v>542420000</v>
      </c>
      <c r="Q114" s="99" t="s">
        <v>146</v>
      </c>
      <c r="R114" s="99" t="s">
        <v>146</v>
      </c>
      <c r="S114" s="99"/>
      <c r="T114" s="111" t="s">
        <v>43</v>
      </c>
      <c r="U114" s="96" t="s">
        <v>206</v>
      </c>
      <c r="V114" s="140">
        <v>44582</v>
      </c>
      <c r="W114" s="166"/>
      <c r="X114" s="166"/>
      <c r="Y114" s="99"/>
      <c r="Z114" s="96" t="s">
        <v>168</v>
      </c>
      <c r="AA114" s="99" t="s">
        <v>169</v>
      </c>
      <c r="AB114" s="96" t="s">
        <v>851</v>
      </c>
      <c r="AC114" s="96"/>
      <c r="AD114" s="97">
        <v>44600</v>
      </c>
      <c r="AE114" s="362" t="s">
        <v>4431</v>
      </c>
      <c r="AF114" s="98"/>
      <c r="AG114" s="166">
        <f t="shared" si="33"/>
        <v>18</v>
      </c>
      <c r="AH114" s="166">
        <f t="shared" si="34"/>
        <v>18</v>
      </c>
      <c r="AI114" s="99" t="s">
        <v>258</v>
      </c>
      <c r="AJ114" s="96" t="s">
        <v>171</v>
      </c>
      <c r="AK114" s="99" t="s">
        <v>1155</v>
      </c>
      <c r="AL114" s="97">
        <v>44589</v>
      </c>
      <c r="AM114" s="214">
        <v>482264000</v>
      </c>
      <c r="AN114" s="96" t="s">
        <v>1156</v>
      </c>
      <c r="AO114" s="96"/>
      <c r="AP114" s="181">
        <f t="shared" si="37"/>
        <v>17726420</v>
      </c>
      <c r="AQ114" s="138"/>
      <c r="AR114" s="138"/>
      <c r="AS114" s="99" t="s">
        <v>146</v>
      </c>
      <c r="AT114" s="99" t="s">
        <v>146</v>
      </c>
      <c r="AU114" s="138"/>
      <c r="AV114" s="99" t="s">
        <v>174</v>
      </c>
      <c r="AW114" s="99" t="s">
        <v>175</v>
      </c>
      <c r="AX114" s="99"/>
      <c r="AY114" s="167">
        <f t="shared" si="39"/>
        <v>3.5453519289429587E-2</v>
      </c>
      <c r="AZ114" s="139">
        <f t="shared" si="36"/>
        <v>0</v>
      </c>
      <c r="BA114" s="139">
        <f t="shared" si="40"/>
        <v>1</v>
      </c>
      <c r="BB114" s="132">
        <f>IF(AA114="CONTRATADO",IF(BA114=1,NETWORKDAYS.INTL(E114,AD114,1,[1]FESTIVOS!$B$3:$B$10)-1,AD114-E114))-BD114</f>
        <v>12</v>
      </c>
      <c r="BC114" s="157"/>
      <c r="BD114" s="162">
        <v>0</v>
      </c>
      <c r="BE114" s="382" t="s">
        <v>2052</v>
      </c>
      <c r="BF114" s="160"/>
    </row>
    <row r="115" spans="2:58" ht="43.9" customHeight="1" x14ac:dyDescent="0.25">
      <c r="B115" s="100">
        <f t="shared" si="35"/>
        <v>97</v>
      </c>
      <c r="C115" s="110" t="s">
        <v>852</v>
      </c>
      <c r="D115" s="99" t="s">
        <v>359</v>
      </c>
      <c r="E115" s="140">
        <v>44582</v>
      </c>
      <c r="F115" s="268" t="s">
        <v>4431</v>
      </c>
      <c r="G115" s="96" t="s">
        <v>853</v>
      </c>
      <c r="H115" s="96" t="s">
        <v>854</v>
      </c>
      <c r="I115" s="96" t="s">
        <v>146</v>
      </c>
      <c r="J115" s="133" t="s">
        <v>855</v>
      </c>
      <c r="K115" s="341">
        <v>941000000</v>
      </c>
      <c r="L115" s="96" t="s">
        <v>328</v>
      </c>
      <c r="M115" s="99" t="s">
        <v>856</v>
      </c>
      <c r="N115" s="99"/>
      <c r="O115" s="99">
        <v>202202121</v>
      </c>
      <c r="P115" s="165"/>
      <c r="Q115" s="99" t="s">
        <v>146</v>
      </c>
      <c r="R115" s="99" t="s">
        <v>146</v>
      </c>
      <c r="S115" s="99"/>
      <c r="T115" s="111" t="s">
        <v>43</v>
      </c>
      <c r="U115" s="96" t="s">
        <v>206</v>
      </c>
      <c r="V115" s="140">
        <v>44582</v>
      </c>
      <c r="W115" s="166"/>
      <c r="X115" s="166"/>
      <c r="Y115" s="99"/>
      <c r="Z115" s="96" t="s">
        <v>168</v>
      </c>
      <c r="AA115" s="99" t="s">
        <v>169</v>
      </c>
      <c r="AB115" s="96" t="s">
        <v>857</v>
      </c>
      <c r="AC115" s="96"/>
      <c r="AD115" s="97">
        <v>44599</v>
      </c>
      <c r="AE115" s="362" t="s">
        <v>4431</v>
      </c>
      <c r="AF115" s="98"/>
      <c r="AG115" s="166">
        <f t="shared" ref="AG115:AG150" si="41">+AD115-E115</f>
        <v>17</v>
      </c>
      <c r="AH115" s="166">
        <f t="shared" ref="AH115:AH150" si="42">+AD115-V115</f>
        <v>17</v>
      </c>
      <c r="AI115" s="99" t="s">
        <v>241</v>
      </c>
      <c r="AJ115" s="96" t="s">
        <v>171</v>
      </c>
      <c r="AK115" s="99" t="s">
        <v>1157</v>
      </c>
      <c r="AL115" s="97">
        <v>44588</v>
      </c>
      <c r="AM115" s="214">
        <v>940997260</v>
      </c>
      <c r="AN115" s="96" t="s">
        <v>1142</v>
      </c>
      <c r="AO115" s="96"/>
      <c r="AP115" s="181">
        <f t="shared" si="37"/>
        <v>2740</v>
      </c>
      <c r="AQ115" s="138"/>
      <c r="AR115" s="138"/>
      <c r="AS115" s="99" t="s">
        <v>146</v>
      </c>
      <c r="AT115" s="99" t="s">
        <v>146</v>
      </c>
      <c r="AU115" s="138"/>
      <c r="AV115" s="99" t="s">
        <v>174</v>
      </c>
      <c r="AW115" s="99" t="s">
        <v>175</v>
      </c>
      <c r="AX115" s="99"/>
      <c r="AY115" s="167">
        <f t="shared" si="39"/>
        <v>2.9117959617428266E-6</v>
      </c>
      <c r="AZ115" s="139">
        <f t="shared" si="36"/>
        <v>0</v>
      </c>
      <c r="BA115" s="139">
        <f t="shared" si="40"/>
        <v>1</v>
      </c>
      <c r="BB115" s="132">
        <f>IF(AA115="CONTRATADO",IF(BA115=1,NETWORKDAYS.INTL(E115,AD115,1,[1]FESTIVOS!$B$3:$B$10)-1,AD115-E115))-BD115</f>
        <v>11</v>
      </c>
      <c r="BC115" s="157"/>
      <c r="BD115" s="162">
        <v>0</v>
      </c>
      <c r="BE115" s="382" t="s">
        <v>2052</v>
      </c>
      <c r="BF115" s="160"/>
    </row>
    <row r="116" spans="2:58" ht="43.9" customHeight="1" x14ac:dyDescent="0.25">
      <c r="B116" s="100">
        <f t="shared" si="35"/>
        <v>98</v>
      </c>
      <c r="C116" s="110" t="s">
        <v>858</v>
      </c>
      <c r="D116" s="99" t="s">
        <v>359</v>
      </c>
      <c r="E116" s="140">
        <v>44582</v>
      </c>
      <c r="F116" s="268" t="s">
        <v>4431</v>
      </c>
      <c r="G116" s="96" t="s">
        <v>859</v>
      </c>
      <c r="H116" s="96" t="s">
        <v>860</v>
      </c>
      <c r="I116" s="96" t="s">
        <v>146</v>
      </c>
      <c r="J116" s="133" t="s">
        <v>861</v>
      </c>
      <c r="K116" s="341">
        <v>808425155</v>
      </c>
      <c r="L116" s="96" t="s">
        <v>298</v>
      </c>
      <c r="M116" s="99" t="s">
        <v>862</v>
      </c>
      <c r="N116" s="99"/>
      <c r="O116" s="99" t="s">
        <v>863</v>
      </c>
      <c r="P116" s="165">
        <v>808425155</v>
      </c>
      <c r="Q116" s="99" t="s">
        <v>146</v>
      </c>
      <c r="R116" s="99" t="s">
        <v>146</v>
      </c>
      <c r="S116" s="99"/>
      <c r="T116" s="111" t="s">
        <v>43</v>
      </c>
      <c r="U116" s="96" t="s">
        <v>206</v>
      </c>
      <c r="V116" s="140">
        <v>44582</v>
      </c>
      <c r="W116" s="166"/>
      <c r="X116" s="166"/>
      <c r="Y116" s="99"/>
      <c r="Z116" s="96" t="s">
        <v>168</v>
      </c>
      <c r="AA116" s="99" t="s">
        <v>169</v>
      </c>
      <c r="AB116" s="96" t="s">
        <v>864</v>
      </c>
      <c r="AC116" s="96"/>
      <c r="AD116" s="97">
        <v>44602</v>
      </c>
      <c r="AE116" s="362" t="s">
        <v>4431</v>
      </c>
      <c r="AF116" s="98"/>
      <c r="AG116" s="166">
        <f t="shared" si="41"/>
        <v>20</v>
      </c>
      <c r="AH116" s="166">
        <f t="shared" si="42"/>
        <v>20</v>
      </c>
      <c r="AI116" s="99" t="s">
        <v>241</v>
      </c>
      <c r="AJ116" s="96" t="s">
        <v>171</v>
      </c>
      <c r="AK116" s="99" t="s">
        <v>1158</v>
      </c>
      <c r="AL116" s="97">
        <v>44589</v>
      </c>
      <c r="AM116" s="214">
        <v>808425138</v>
      </c>
      <c r="AN116" s="96" t="s">
        <v>1159</v>
      </c>
      <c r="AO116" s="96"/>
      <c r="AP116" s="181">
        <f t="shared" si="37"/>
        <v>17</v>
      </c>
      <c r="AQ116" s="138"/>
      <c r="AR116" s="138"/>
      <c r="AS116" s="99" t="s">
        <v>146</v>
      </c>
      <c r="AT116" s="99" t="s">
        <v>146</v>
      </c>
      <c r="AU116" s="138"/>
      <c r="AV116" s="99" t="s">
        <v>1000</v>
      </c>
      <c r="AW116" s="99" t="s">
        <v>692</v>
      </c>
      <c r="AX116" s="99"/>
      <c r="AY116" s="167">
        <f t="shared" si="39"/>
        <v>2.1028539123080602E-8</v>
      </c>
      <c r="AZ116" s="139">
        <f t="shared" si="36"/>
        <v>0</v>
      </c>
      <c r="BA116" s="139">
        <f t="shared" si="40"/>
        <v>1</v>
      </c>
      <c r="BB116" s="132">
        <f>IF(AA116="CONTRATADO",IF(BA116=1,NETWORKDAYS.INTL(E116,AD116,1,[1]FESTIVOS!$B$3:$B$10)-1,AD116-E116))-BD116</f>
        <v>14</v>
      </c>
      <c r="BC116" s="157"/>
      <c r="BD116" s="162">
        <v>0</v>
      </c>
      <c r="BE116" s="382" t="s">
        <v>2052</v>
      </c>
      <c r="BF116" s="160"/>
    </row>
    <row r="117" spans="2:58" ht="43.9" customHeight="1" x14ac:dyDescent="0.25">
      <c r="B117" s="100">
        <f t="shared" si="35"/>
        <v>99</v>
      </c>
      <c r="C117" s="110" t="s">
        <v>865</v>
      </c>
      <c r="D117" s="99" t="s">
        <v>359</v>
      </c>
      <c r="E117" s="140">
        <v>44582</v>
      </c>
      <c r="F117" s="268" t="s">
        <v>4431</v>
      </c>
      <c r="G117" s="96" t="s">
        <v>376</v>
      </c>
      <c r="H117" s="96" t="s">
        <v>377</v>
      </c>
      <c r="I117" s="96" t="s">
        <v>146</v>
      </c>
      <c r="J117" s="133" t="s">
        <v>866</v>
      </c>
      <c r="K117" s="341">
        <v>349698036</v>
      </c>
      <c r="L117" s="96" t="s">
        <v>1160</v>
      </c>
      <c r="M117" s="99" t="s">
        <v>867</v>
      </c>
      <c r="N117" s="99"/>
      <c r="O117" s="99">
        <v>202202128</v>
      </c>
      <c r="P117" s="165">
        <v>349698036</v>
      </c>
      <c r="Q117" s="99" t="s">
        <v>146</v>
      </c>
      <c r="R117" s="99" t="s">
        <v>146</v>
      </c>
      <c r="S117" s="99"/>
      <c r="T117" s="111" t="s">
        <v>43</v>
      </c>
      <c r="U117" s="96" t="s">
        <v>206</v>
      </c>
      <c r="V117" s="140">
        <v>44582</v>
      </c>
      <c r="W117" s="166"/>
      <c r="X117" s="166"/>
      <c r="Y117" s="99"/>
      <c r="Z117" s="96" t="s">
        <v>168</v>
      </c>
      <c r="AA117" s="99" t="s">
        <v>169</v>
      </c>
      <c r="AB117" s="99" t="s">
        <v>868</v>
      </c>
      <c r="AC117" s="99"/>
      <c r="AD117" s="97">
        <v>44600</v>
      </c>
      <c r="AE117" s="362" t="s">
        <v>4431</v>
      </c>
      <c r="AF117" s="98"/>
      <c r="AG117" s="166">
        <f t="shared" si="41"/>
        <v>18</v>
      </c>
      <c r="AH117" s="166">
        <f t="shared" si="42"/>
        <v>18</v>
      </c>
      <c r="AI117" s="99" t="s">
        <v>241</v>
      </c>
      <c r="AJ117" s="96" t="s">
        <v>171</v>
      </c>
      <c r="AK117" s="99" t="s">
        <v>1161</v>
      </c>
      <c r="AL117" s="97">
        <v>44589</v>
      </c>
      <c r="AM117" s="214">
        <v>348700000</v>
      </c>
      <c r="AN117" s="96" t="s">
        <v>1162</v>
      </c>
      <c r="AO117" s="96"/>
      <c r="AP117" s="181">
        <f t="shared" si="37"/>
        <v>998036</v>
      </c>
      <c r="AQ117" s="138"/>
      <c r="AR117" s="138"/>
      <c r="AS117" s="99" t="s">
        <v>146</v>
      </c>
      <c r="AT117" s="99" t="s">
        <v>146</v>
      </c>
      <c r="AU117" s="138"/>
      <c r="AV117" s="99" t="s">
        <v>1000</v>
      </c>
      <c r="AW117" s="99" t="s">
        <v>692</v>
      </c>
      <c r="AX117" s="99"/>
      <c r="AY117" s="167">
        <f t="shared" si="39"/>
        <v>2.8539937238881148E-3</v>
      </c>
      <c r="AZ117" s="139">
        <f t="shared" si="36"/>
        <v>0</v>
      </c>
      <c r="BA117" s="139">
        <f t="shared" si="40"/>
        <v>1</v>
      </c>
      <c r="BB117" s="132">
        <f>IF(AA117="CONTRATADO",IF(BA117=1,NETWORKDAYS.INTL(E117,AD117,1,[1]FESTIVOS!$B$3:$B$10)-1,AD117-E117))-BD117</f>
        <v>12</v>
      </c>
      <c r="BC117" s="157"/>
      <c r="BD117" s="96">
        <v>0</v>
      </c>
      <c r="BE117" s="386" t="s">
        <v>2052</v>
      </c>
      <c r="BF117" s="160"/>
    </row>
    <row r="118" spans="2:58" ht="43.9" customHeight="1" x14ac:dyDescent="0.25">
      <c r="B118" s="100">
        <f t="shared" si="35"/>
        <v>100</v>
      </c>
      <c r="C118" s="110" t="s">
        <v>869</v>
      </c>
      <c r="D118" s="99" t="s">
        <v>359</v>
      </c>
      <c r="E118" s="140">
        <v>44585</v>
      </c>
      <c r="F118" s="268" t="s">
        <v>4431</v>
      </c>
      <c r="G118" s="96" t="s">
        <v>870</v>
      </c>
      <c r="H118" s="96" t="s">
        <v>871</v>
      </c>
      <c r="I118" s="96" t="s">
        <v>146</v>
      </c>
      <c r="J118" s="133" t="s">
        <v>872</v>
      </c>
      <c r="K118" s="341">
        <v>450000000</v>
      </c>
      <c r="L118" s="96" t="s">
        <v>328</v>
      </c>
      <c r="M118" s="99" t="s">
        <v>873</v>
      </c>
      <c r="N118" s="99"/>
      <c r="O118" s="99">
        <v>202202130</v>
      </c>
      <c r="P118" s="165">
        <v>450000000</v>
      </c>
      <c r="Q118" s="99" t="s">
        <v>146</v>
      </c>
      <c r="R118" s="99" t="s">
        <v>146</v>
      </c>
      <c r="S118" s="99"/>
      <c r="T118" s="111" t="s">
        <v>43</v>
      </c>
      <c r="U118" s="96" t="s">
        <v>206</v>
      </c>
      <c r="V118" s="140">
        <v>44585</v>
      </c>
      <c r="W118" s="166"/>
      <c r="X118" s="166"/>
      <c r="Y118" s="99"/>
      <c r="Z118" s="96" t="s">
        <v>168</v>
      </c>
      <c r="AA118" s="99" t="s">
        <v>169</v>
      </c>
      <c r="AB118" s="96" t="s">
        <v>874</v>
      </c>
      <c r="AC118" s="96"/>
      <c r="AD118" s="97">
        <v>44600</v>
      </c>
      <c r="AE118" s="362" t="s">
        <v>4431</v>
      </c>
      <c r="AF118" s="98"/>
      <c r="AG118" s="166">
        <f t="shared" si="41"/>
        <v>15</v>
      </c>
      <c r="AH118" s="166">
        <f t="shared" si="42"/>
        <v>15</v>
      </c>
      <c r="AI118" s="99" t="s">
        <v>258</v>
      </c>
      <c r="AJ118" s="96" t="s">
        <v>171</v>
      </c>
      <c r="AK118" s="99" t="s">
        <v>1163</v>
      </c>
      <c r="AL118" s="97">
        <v>44589</v>
      </c>
      <c r="AM118" s="214">
        <v>447814074</v>
      </c>
      <c r="AN118" s="96" t="s">
        <v>1164</v>
      </c>
      <c r="AO118" s="96"/>
      <c r="AP118" s="181">
        <f t="shared" si="37"/>
        <v>2185926</v>
      </c>
      <c r="AQ118" s="138"/>
      <c r="AR118" s="138"/>
      <c r="AS118" s="99" t="s">
        <v>146</v>
      </c>
      <c r="AT118" s="99" t="s">
        <v>146</v>
      </c>
      <c r="AU118" s="138"/>
      <c r="AV118" s="99" t="s">
        <v>174</v>
      </c>
      <c r="AW118" s="99" t="s">
        <v>175</v>
      </c>
      <c r="AX118" s="99"/>
      <c r="AY118" s="167">
        <f t="shared" si="39"/>
        <v>4.8576133333333334E-3</v>
      </c>
      <c r="AZ118" s="139">
        <f t="shared" si="36"/>
        <v>0</v>
      </c>
      <c r="BA118" s="139">
        <f t="shared" si="40"/>
        <v>1</v>
      </c>
      <c r="BB118" s="132">
        <f>IF(AA118="CONTRATADO",IF(BA118=1,NETWORKDAYS.INTL(E118,AD118,1,[1]FESTIVOS!$B$3:$B$10)-1,AD118-E118))-BD118</f>
        <v>11</v>
      </c>
      <c r="BC118" s="157"/>
      <c r="BD118" s="96">
        <v>0</v>
      </c>
      <c r="BE118" s="386" t="s">
        <v>2052</v>
      </c>
      <c r="BF118" s="160"/>
    </row>
    <row r="119" spans="2:58" ht="43.9" customHeight="1" x14ac:dyDescent="0.25">
      <c r="B119" s="100">
        <f t="shared" si="35"/>
        <v>101</v>
      </c>
      <c r="C119" s="110" t="s">
        <v>875</v>
      </c>
      <c r="D119" s="99" t="s">
        <v>332</v>
      </c>
      <c r="E119" s="140">
        <v>44586</v>
      </c>
      <c r="F119" s="268" t="s">
        <v>4431</v>
      </c>
      <c r="G119" s="96" t="s">
        <v>876</v>
      </c>
      <c r="H119" s="96" t="s">
        <v>877</v>
      </c>
      <c r="I119" s="96" t="s">
        <v>146</v>
      </c>
      <c r="J119" s="133" t="s">
        <v>878</v>
      </c>
      <c r="K119" s="341">
        <v>335395787</v>
      </c>
      <c r="L119" s="96" t="s">
        <v>460</v>
      </c>
      <c r="M119" s="99" t="s">
        <v>879</v>
      </c>
      <c r="N119" s="99"/>
      <c r="O119" s="99">
        <v>202201946</v>
      </c>
      <c r="P119" s="165">
        <v>345000000</v>
      </c>
      <c r="Q119" s="99" t="s">
        <v>146</v>
      </c>
      <c r="R119" s="99" t="s">
        <v>146</v>
      </c>
      <c r="S119" s="99"/>
      <c r="T119" s="111" t="s">
        <v>43</v>
      </c>
      <c r="U119" s="96" t="s">
        <v>277</v>
      </c>
      <c r="V119" s="140">
        <v>44586</v>
      </c>
      <c r="W119" s="166"/>
      <c r="X119" s="166"/>
      <c r="Y119" s="99"/>
      <c r="Z119" s="96" t="s">
        <v>168</v>
      </c>
      <c r="AA119" s="99" t="s">
        <v>169</v>
      </c>
      <c r="AB119" s="96" t="s">
        <v>880</v>
      </c>
      <c r="AC119" s="96"/>
      <c r="AD119" s="97">
        <v>44606</v>
      </c>
      <c r="AE119" s="362" t="s">
        <v>4431</v>
      </c>
      <c r="AF119" s="98"/>
      <c r="AG119" s="166">
        <f t="shared" si="41"/>
        <v>20</v>
      </c>
      <c r="AH119" s="166">
        <f t="shared" si="42"/>
        <v>20</v>
      </c>
      <c r="AI119" s="99" t="s">
        <v>258</v>
      </c>
      <c r="AJ119" s="96" t="s">
        <v>155</v>
      </c>
      <c r="AK119" s="99" t="s">
        <v>1165</v>
      </c>
      <c r="AL119" s="97">
        <v>44589</v>
      </c>
      <c r="AM119" s="214">
        <v>330227598</v>
      </c>
      <c r="AN119" s="96" t="s">
        <v>1086</v>
      </c>
      <c r="AO119" s="96"/>
      <c r="AP119" s="181">
        <f t="shared" si="37"/>
        <v>5168189</v>
      </c>
      <c r="AQ119" s="138"/>
      <c r="AR119" s="138"/>
      <c r="AS119" s="99" t="s">
        <v>146</v>
      </c>
      <c r="AT119" s="99" t="s">
        <v>146</v>
      </c>
      <c r="AU119" s="138"/>
      <c r="AV119" s="99" t="s">
        <v>1126</v>
      </c>
      <c r="AW119" s="99" t="s">
        <v>692</v>
      </c>
      <c r="AX119" s="99"/>
      <c r="AY119" s="167">
        <f t="shared" si="39"/>
        <v>1.5409224564886977E-2</v>
      </c>
      <c r="AZ119" s="139">
        <f t="shared" si="36"/>
        <v>0</v>
      </c>
      <c r="BA119" s="139">
        <f t="shared" si="40"/>
        <v>1</v>
      </c>
      <c r="BB119" s="132">
        <f>IF(AA119="CONTRATADO",IF(BA119=1,NETWORKDAYS.INTL(E119,AD119,1,[1]FESTIVOS!$B$3:$B$10)-1,AD119-E119))-BD119</f>
        <v>14</v>
      </c>
      <c r="BC119" s="157"/>
      <c r="BD119" s="162">
        <v>0</v>
      </c>
      <c r="BE119" s="382" t="s">
        <v>2052</v>
      </c>
    </row>
    <row r="120" spans="2:58" ht="43.9" customHeight="1" x14ac:dyDescent="0.25">
      <c r="B120" s="100">
        <f t="shared" si="35"/>
        <v>102</v>
      </c>
      <c r="C120" s="110" t="s">
        <v>881</v>
      </c>
      <c r="D120" s="99" t="s">
        <v>32</v>
      </c>
      <c r="E120" s="140">
        <v>44586</v>
      </c>
      <c r="F120" s="268" t="s">
        <v>4431</v>
      </c>
      <c r="G120" s="99" t="s">
        <v>882</v>
      </c>
      <c r="H120" s="99" t="s">
        <v>883</v>
      </c>
      <c r="I120" s="96" t="s">
        <v>146</v>
      </c>
      <c r="J120" s="133" t="s">
        <v>884</v>
      </c>
      <c r="K120" s="341">
        <v>9282000</v>
      </c>
      <c r="L120" s="96" t="s">
        <v>328</v>
      </c>
      <c r="M120" s="96" t="s">
        <v>885</v>
      </c>
      <c r="N120" s="96"/>
      <c r="O120" s="99">
        <v>202202211</v>
      </c>
      <c r="P120" s="165">
        <v>9282000</v>
      </c>
      <c r="Q120" s="111" t="s">
        <v>146</v>
      </c>
      <c r="R120" s="111" t="s">
        <v>146</v>
      </c>
      <c r="S120" s="111"/>
      <c r="T120" s="111" t="s">
        <v>43</v>
      </c>
      <c r="U120" s="96" t="s">
        <v>312</v>
      </c>
      <c r="V120" s="140">
        <v>44586</v>
      </c>
      <c r="W120" s="166"/>
      <c r="X120" s="166"/>
      <c r="Y120" s="99"/>
      <c r="Z120" s="96" t="s">
        <v>168</v>
      </c>
      <c r="AA120" s="99" t="s">
        <v>169</v>
      </c>
      <c r="AB120" s="96" t="s">
        <v>886</v>
      </c>
      <c r="AC120" s="96"/>
      <c r="AD120" s="97">
        <v>44603</v>
      </c>
      <c r="AE120" s="362" t="s">
        <v>4431</v>
      </c>
      <c r="AF120" s="98"/>
      <c r="AG120" s="166">
        <f t="shared" si="41"/>
        <v>17</v>
      </c>
      <c r="AH120" s="166">
        <f t="shared" si="42"/>
        <v>17</v>
      </c>
      <c r="AI120" s="99" t="s">
        <v>258</v>
      </c>
      <c r="AJ120" s="96" t="s">
        <v>171</v>
      </c>
      <c r="AK120" s="99" t="s">
        <v>1166</v>
      </c>
      <c r="AL120" s="97">
        <v>44589</v>
      </c>
      <c r="AM120" s="214">
        <v>9281988</v>
      </c>
      <c r="AN120" s="96" t="s">
        <v>1167</v>
      </c>
      <c r="AO120" s="96"/>
      <c r="AP120" s="181">
        <f t="shared" si="37"/>
        <v>12</v>
      </c>
      <c r="AQ120" s="138"/>
      <c r="AR120" s="138"/>
      <c r="AS120" s="99" t="s">
        <v>146</v>
      </c>
      <c r="AT120" s="99" t="s">
        <v>146</v>
      </c>
      <c r="AU120" s="138"/>
      <c r="AV120" s="99" t="s">
        <v>174</v>
      </c>
      <c r="AW120" s="99" t="s">
        <v>175</v>
      </c>
      <c r="AX120" s="99"/>
      <c r="AY120" s="167">
        <f t="shared" si="39"/>
        <v>1.2928248222365869E-6</v>
      </c>
      <c r="AZ120" s="139">
        <f t="shared" si="36"/>
        <v>1</v>
      </c>
      <c r="BA120" s="139">
        <f t="shared" si="40"/>
        <v>1</v>
      </c>
      <c r="BB120" s="132">
        <f>IF(AA120="CONTRATADO",IF(BA120=1,NETWORKDAYS.INTL(E120,AD120,1,[1]FESTIVOS!$B$3:$B$10)-1,AD120-E120))-BD120</f>
        <v>13</v>
      </c>
      <c r="BC120" s="157"/>
      <c r="BD120" s="96">
        <v>0</v>
      </c>
      <c r="BE120" s="386" t="s">
        <v>2052</v>
      </c>
      <c r="BF120" s="160"/>
    </row>
    <row r="121" spans="2:58" ht="43.9" customHeight="1" x14ac:dyDescent="0.25">
      <c r="B121" s="100">
        <f t="shared" si="35"/>
        <v>103</v>
      </c>
      <c r="C121" s="110" t="s">
        <v>887</v>
      </c>
      <c r="D121" s="99" t="s">
        <v>28</v>
      </c>
      <c r="E121" s="140">
        <v>44586</v>
      </c>
      <c r="F121" s="268" t="s">
        <v>4431</v>
      </c>
      <c r="G121" s="96" t="s">
        <v>888</v>
      </c>
      <c r="H121" s="96" t="s">
        <v>889</v>
      </c>
      <c r="I121" s="96" t="s">
        <v>146</v>
      </c>
      <c r="J121" s="133" t="s">
        <v>890</v>
      </c>
      <c r="K121" s="341">
        <v>120000000</v>
      </c>
      <c r="L121" s="96" t="s">
        <v>1105</v>
      </c>
      <c r="M121" s="99" t="s">
        <v>891</v>
      </c>
      <c r="N121" s="99"/>
      <c r="O121" s="99">
        <v>202200889</v>
      </c>
      <c r="P121" s="165">
        <v>120000000</v>
      </c>
      <c r="Q121" s="99" t="s">
        <v>146</v>
      </c>
      <c r="R121" s="99" t="s">
        <v>146</v>
      </c>
      <c r="S121" s="99"/>
      <c r="T121" s="111" t="s">
        <v>43</v>
      </c>
      <c r="U121" s="96" t="s">
        <v>213</v>
      </c>
      <c r="V121" s="140">
        <v>44586</v>
      </c>
      <c r="W121" s="166"/>
      <c r="X121" s="166"/>
      <c r="Y121" s="99"/>
      <c r="Z121" s="96" t="s">
        <v>168</v>
      </c>
      <c r="AA121" s="99" t="s">
        <v>169</v>
      </c>
      <c r="AB121" s="96" t="s">
        <v>892</v>
      </c>
      <c r="AC121" s="96"/>
      <c r="AD121" s="97">
        <v>44616</v>
      </c>
      <c r="AE121" s="362" t="s">
        <v>4431</v>
      </c>
      <c r="AF121" s="98"/>
      <c r="AG121" s="166">
        <f t="shared" si="41"/>
        <v>30</v>
      </c>
      <c r="AH121" s="166">
        <f t="shared" si="42"/>
        <v>30</v>
      </c>
      <c r="AI121" s="99" t="s">
        <v>241</v>
      </c>
      <c r="AJ121" s="96" t="s">
        <v>171</v>
      </c>
      <c r="AK121" s="99" t="s">
        <v>1168</v>
      </c>
      <c r="AL121" s="97">
        <v>44588</v>
      </c>
      <c r="AM121" s="214">
        <v>120000000</v>
      </c>
      <c r="AN121" s="96" t="s">
        <v>1169</v>
      </c>
      <c r="AO121" s="96"/>
      <c r="AP121" s="181">
        <f t="shared" si="37"/>
        <v>0</v>
      </c>
      <c r="AQ121" s="138"/>
      <c r="AR121" s="138"/>
      <c r="AS121" s="99" t="s">
        <v>146</v>
      </c>
      <c r="AT121" s="99" t="s">
        <v>146</v>
      </c>
      <c r="AU121" s="138"/>
      <c r="AV121" s="99" t="s">
        <v>1000</v>
      </c>
      <c r="AW121" s="99" t="s">
        <v>692</v>
      </c>
      <c r="AX121" s="99"/>
      <c r="AY121" s="167">
        <f t="shared" si="39"/>
        <v>0</v>
      </c>
      <c r="AZ121" s="139">
        <f t="shared" si="36"/>
        <v>1</v>
      </c>
      <c r="BA121" s="139">
        <f t="shared" si="40"/>
        <v>1</v>
      </c>
      <c r="BB121" s="132">
        <f>IF(AA121="CONTRATADO",IF(BA121=1,NETWORKDAYS.INTL(E121,AD121,1,[1]FESTIVOS!$B$3:$B$10)-1,AD121-E121))-BD121</f>
        <v>22</v>
      </c>
      <c r="BC121" s="157"/>
      <c r="BD121" s="96">
        <v>0</v>
      </c>
      <c r="BE121" s="386" t="s">
        <v>2052</v>
      </c>
      <c r="BF121" s="160"/>
    </row>
    <row r="122" spans="2:58" ht="43.9" customHeight="1" x14ac:dyDescent="0.25">
      <c r="B122" s="100">
        <f t="shared" si="35"/>
        <v>104</v>
      </c>
      <c r="C122" s="110" t="s">
        <v>893</v>
      </c>
      <c r="D122" s="99" t="s">
        <v>32</v>
      </c>
      <c r="E122" s="140">
        <v>44587</v>
      </c>
      <c r="F122" s="268" t="s">
        <v>4431</v>
      </c>
      <c r="G122" s="96" t="s">
        <v>894</v>
      </c>
      <c r="H122" s="96" t="s">
        <v>895</v>
      </c>
      <c r="I122" s="96" t="s">
        <v>146</v>
      </c>
      <c r="J122" s="133" t="s">
        <v>896</v>
      </c>
      <c r="K122" s="341">
        <v>7937249</v>
      </c>
      <c r="L122" s="96" t="s">
        <v>651</v>
      </c>
      <c r="M122" s="99" t="s">
        <v>897</v>
      </c>
      <c r="N122" s="99"/>
      <c r="O122" s="99">
        <v>202202157</v>
      </c>
      <c r="P122" s="165">
        <v>7937249</v>
      </c>
      <c r="Q122" s="99" t="s">
        <v>146</v>
      </c>
      <c r="R122" s="99" t="s">
        <v>146</v>
      </c>
      <c r="S122" s="99"/>
      <c r="T122" s="111" t="s">
        <v>43</v>
      </c>
      <c r="U122" s="96" t="s">
        <v>572</v>
      </c>
      <c r="V122" s="140">
        <v>44587</v>
      </c>
      <c r="W122" s="166"/>
      <c r="X122" s="166"/>
      <c r="Y122" s="99"/>
      <c r="Z122" s="96" t="s">
        <v>168</v>
      </c>
      <c r="AA122" s="99" t="s">
        <v>169</v>
      </c>
      <c r="AB122" s="96" t="s">
        <v>898</v>
      </c>
      <c r="AC122" s="96"/>
      <c r="AD122" s="97">
        <v>44606</v>
      </c>
      <c r="AE122" s="362" t="s">
        <v>4431</v>
      </c>
      <c r="AF122" s="98"/>
      <c r="AG122" s="166">
        <f t="shared" si="41"/>
        <v>19</v>
      </c>
      <c r="AH122" s="166">
        <f t="shared" si="42"/>
        <v>19</v>
      </c>
      <c r="AI122" s="99" t="s">
        <v>258</v>
      </c>
      <c r="AJ122" s="96" t="s">
        <v>171</v>
      </c>
      <c r="AK122" s="99" t="s">
        <v>1170</v>
      </c>
      <c r="AL122" s="97">
        <v>44589</v>
      </c>
      <c r="AM122" s="214">
        <v>7937249</v>
      </c>
      <c r="AN122" s="96" t="s">
        <v>1171</v>
      </c>
      <c r="AO122" s="96"/>
      <c r="AP122" s="181">
        <f t="shared" si="37"/>
        <v>0</v>
      </c>
      <c r="AQ122" s="138"/>
      <c r="AR122" s="138"/>
      <c r="AS122" s="99" t="s">
        <v>146</v>
      </c>
      <c r="AT122" s="99" t="s">
        <v>146</v>
      </c>
      <c r="AU122" s="138"/>
      <c r="AV122" s="99" t="s">
        <v>1000</v>
      </c>
      <c r="AW122" s="99" t="s">
        <v>692</v>
      </c>
      <c r="AX122" s="99"/>
      <c r="AY122" s="167">
        <f t="shared" si="39"/>
        <v>0</v>
      </c>
      <c r="AZ122" s="139">
        <f t="shared" si="36"/>
        <v>1</v>
      </c>
      <c r="BA122" s="139">
        <f t="shared" si="40"/>
        <v>1</v>
      </c>
      <c r="BB122" s="132">
        <f>IF(AA122="CONTRATADO",IF(BA122=1,NETWORKDAYS.INTL(E122,AD122,1,[1]FESTIVOS!$B$3:$B$10)-1,AD122-E122))-BD122</f>
        <v>13</v>
      </c>
      <c r="BC122" s="157"/>
      <c r="BD122" s="96">
        <v>0</v>
      </c>
      <c r="BE122" s="386" t="s">
        <v>2052</v>
      </c>
      <c r="BF122" s="160"/>
    </row>
    <row r="123" spans="2:58" ht="43.9" customHeight="1" x14ac:dyDescent="0.25">
      <c r="B123" s="100">
        <f t="shared" si="35"/>
        <v>105</v>
      </c>
      <c r="C123" s="110" t="s">
        <v>899</v>
      </c>
      <c r="D123" s="99" t="s">
        <v>32</v>
      </c>
      <c r="E123" s="140">
        <v>44587</v>
      </c>
      <c r="F123" s="268" t="s">
        <v>4431</v>
      </c>
      <c r="G123" s="96" t="s">
        <v>900</v>
      </c>
      <c r="H123" s="96" t="s">
        <v>901</v>
      </c>
      <c r="I123" s="96" t="s">
        <v>146</v>
      </c>
      <c r="J123" s="133" t="s">
        <v>902</v>
      </c>
      <c r="K123" s="341">
        <v>199600218</v>
      </c>
      <c r="L123" s="140">
        <v>44926</v>
      </c>
      <c r="M123" s="96" t="s">
        <v>1172</v>
      </c>
      <c r="N123" s="96"/>
      <c r="O123" s="99">
        <v>202202153</v>
      </c>
      <c r="P123" s="165">
        <v>200000000</v>
      </c>
      <c r="Q123" s="99" t="s">
        <v>146</v>
      </c>
      <c r="R123" s="99" t="s">
        <v>146</v>
      </c>
      <c r="S123" s="99"/>
      <c r="T123" s="111" t="s">
        <v>43</v>
      </c>
      <c r="U123" s="96" t="s">
        <v>161</v>
      </c>
      <c r="V123" s="140">
        <v>44587</v>
      </c>
      <c r="W123" s="166"/>
      <c r="X123" s="166"/>
      <c r="Y123" s="99"/>
      <c r="Z123" s="96" t="s">
        <v>168</v>
      </c>
      <c r="AA123" s="99" t="s">
        <v>169</v>
      </c>
      <c r="AB123" s="96" t="s">
        <v>903</v>
      </c>
      <c r="AC123" s="96"/>
      <c r="AD123" s="97">
        <v>44596</v>
      </c>
      <c r="AE123" s="362" t="s">
        <v>4431</v>
      </c>
      <c r="AF123" s="98"/>
      <c r="AG123" s="166">
        <f t="shared" si="41"/>
        <v>9</v>
      </c>
      <c r="AH123" s="166">
        <f t="shared" si="42"/>
        <v>9</v>
      </c>
      <c r="AI123" s="99" t="s">
        <v>258</v>
      </c>
      <c r="AJ123" s="96" t="s">
        <v>171</v>
      </c>
      <c r="AK123" s="99" t="s">
        <v>1173</v>
      </c>
      <c r="AL123" s="97">
        <v>44589</v>
      </c>
      <c r="AM123" s="214">
        <v>198881517</v>
      </c>
      <c r="AN123" s="96" t="s">
        <v>1174</v>
      </c>
      <c r="AO123" s="96"/>
      <c r="AP123" s="181">
        <f t="shared" si="37"/>
        <v>718701</v>
      </c>
      <c r="AQ123" s="138"/>
      <c r="AR123" s="138"/>
      <c r="AS123" s="99" t="s">
        <v>146</v>
      </c>
      <c r="AT123" s="99" t="s">
        <v>146</v>
      </c>
      <c r="AU123" s="138"/>
      <c r="AV123" s="99" t="s">
        <v>1186</v>
      </c>
      <c r="AW123" s="99" t="s">
        <v>1123</v>
      </c>
      <c r="AX123" s="99"/>
      <c r="AY123" s="167">
        <f t="shared" si="39"/>
        <v>3.600702480194686E-3</v>
      </c>
      <c r="AZ123" s="139">
        <f t="shared" si="36"/>
        <v>1</v>
      </c>
      <c r="BA123" s="139">
        <f t="shared" si="40"/>
        <v>1</v>
      </c>
      <c r="BB123" s="132">
        <f>IF(AA123="CONTRATADO",IF(BA123=1,NETWORKDAYS.INTL(E123,AD123,1,[1]FESTIVOS!$B$3:$B$10)-1,AD123-E123))-BD123</f>
        <v>7</v>
      </c>
      <c r="BC123" s="157"/>
      <c r="BD123" s="162">
        <v>0</v>
      </c>
      <c r="BE123" s="382" t="s">
        <v>2052</v>
      </c>
      <c r="BF123" s="160"/>
    </row>
    <row r="124" spans="2:58" ht="43.9" customHeight="1" x14ac:dyDescent="0.25">
      <c r="B124" s="100">
        <f t="shared" si="35"/>
        <v>106</v>
      </c>
      <c r="C124" s="293" t="s">
        <v>904</v>
      </c>
      <c r="D124" s="265" t="s">
        <v>28</v>
      </c>
      <c r="E124" s="272">
        <v>44587</v>
      </c>
      <c r="F124" s="268" t="s">
        <v>4431</v>
      </c>
      <c r="G124" s="269" t="s">
        <v>905</v>
      </c>
      <c r="H124" s="265" t="s">
        <v>906</v>
      </c>
      <c r="I124" s="265" t="s">
        <v>146</v>
      </c>
      <c r="J124" s="269" t="s">
        <v>907</v>
      </c>
      <c r="K124" s="342">
        <v>71400000</v>
      </c>
      <c r="L124" s="282"/>
      <c r="M124" s="265" t="s">
        <v>908</v>
      </c>
      <c r="N124" s="302" t="str">
        <f>MID(M124,5,3)</f>
        <v>IP-</v>
      </c>
      <c r="O124" s="265">
        <v>202202179</v>
      </c>
      <c r="P124" s="271"/>
      <c r="Q124" s="265" t="s">
        <v>146</v>
      </c>
      <c r="R124" s="265" t="s">
        <v>146</v>
      </c>
      <c r="S124" s="312" t="s">
        <v>146</v>
      </c>
      <c r="T124" s="111" t="s">
        <v>43</v>
      </c>
      <c r="U124" s="269" t="s">
        <v>551</v>
      </c>
      <c r="V124" s="284">
        <v>44587</v>
      </c>
      <c r="W124" s="303" t="e">
        <f>+$D$4-E124</f>
        <v>#VALUE!</v>
      </c>
      <c r="X124" s="303" t="e">
        <f>$D$4-V124</f>
        <v>#VALUE!</v>
      </c>
      <c r="Y124" s="265" t="s">
        <v>1300</v>
      </c>
      <c r="Z124" s="265" t="s">
        <v>214</v>
      </c>
      <c r="AA124" s="265" t="s">
        <v>215</v>
      </c>
      <c r="AB124" s="265"/>
      <c r="AC124" s="304" t="s">
        <v>909</v>
      </c>
      <c r="AD124" s="272">
        <v>44589</v>
      </c>
      <c r="AE124" s="265"/>
      <c r="AF124" s="305" t="str">
        <f>+IF(AD124="","",TEXT(AD124,"mmm"))</f>
        <v>ene</v>
      </c>
      <c r="AG124" s="306">
        <f t="shared" si="41"/>
        <v>2</v>
      </c>
      <c r="AH124" s="307">
        <f t="shared" si="42"/>
        <v>2</v>
      </c>
      <c r="AI124" s="265" t="s">
        <v>258</v>
      </c>
      <c r="AJ124" s="265" t="s">
        <v>171</v>
      </c>
      <c r="AK124" s="277"/>
      <c r="AL124" s="277"/>
      <c r="AM124" s="309"/>
      <c r="AN124" s="269"/>
      <c r="AO124" s="277"/>
      <c r="AP124" s="309">
        <f t="shared" si="37"/>
        <v>71400000</v>
      </c>
      <c r="AQ124" s="289"/>
      <c r="AR124" s="289"/>
      <c r="AS124" s="277"/>
      <c r="AT124" s="260"/>
      <c r="AU124" s="260"/>
      <c r="AV124" s="200"/>
      <c r="AW124" s="200"/>
      <c r="AX124" s="200"/>
      <c r="AY124" s="200"/>
      <c r="AZ124" s="139">
        <f t="shared" si="36"/>
        <v>1</v>
      </c>
      <c r="BA124" s="200"/>
      <c r="BB124" s="203"/>
      <c r="BC124" s="95"/>
      <c r="BD124" s="2"/>
      <c r="BE124" s="2"/>
      <c r="BF124" s="160"/>
    </row>
    <row r="125" spans="2:58" ht="43.9" customHeight="1" x14ac:dyDescent="0.25">
      <c r="B125" s="100">
        <f t="shared" si="35"/>
        <v>107</v>
      </c>
      <c r="C125" s="110" t="s">
        <v>910</v>
      </c>
      <c r="D125" s="99" t="s">
        <v>28</v>
      </c>
      <c r="E125" s="140">
        <v>44587</v>
      </c>
      <c r="F125" s="268" t="s">
        <v>4431</v>
      </c>
      <c r="G125" s="96" t="s">
        <v>911</v>
      </c>
      <c r="H125" s="96" t="s">
        <v>912</v>
      </c>
      <c r="I125" s="96" t="s">
        <v>146</v>
      </c>
      <c r="J125" s="133" t="s">
        <v>913</v>
      </c>
      <c r="K125" s="341">
        <v>164087782</v>
      </c>
      <c r="L125" s="96" t="s">
        <v>1175</v>
      </c>
      <c r="M125" s="99" t="s">
        <v>914</v>
      </c>
      <c r="N125" s="99"/>
      <c r="O125" s="99">
        <v>202200894</v>
      </c>
      <c r="P125" s="165">
        <v>164087782</v>
      </c>
      <c r="Q125" s="99" t="s">
        <v>146</v>
      </c>
      <c r="R125" s="99" t="s">
        <v>146</v>
      </c>
      <c r="S125" s="99"/>
      <c r="T125" s="111" t="s">
        <v>43</v>
      </c>
      <c r="U125" s="96" t="s">
        <v>213</v>
      </c>
      <c r="V125" s="140">
        <v>44587</v>
      </c>
      <c r="W125" s="166"/>
      <c r="X125" s="166"/>
      <c r="Y125" s="99"/>
      <c r="Z125" s="96" t="s">
        <v>168</v>
      </c>
      <c r="AA125" s="99" t="s">
        <v>169</v>
      </c>
      <c r="AB125" s="96" t="s">
        <v>915</v>
      </c>
      <c r="AC125" s="96"/>
      <c r="AD125" s="97">
        <v>44595</v>
      </c>
      <c r="AE125" s="362" t="s">
        <v>4431</v>
      </c>
      <c r="AF125" s="98"/>
      <c r="AG125" s="166">
        <f t="shared" si="41"/>
        <v>8</v>
      </c>
      <c r="AH125" s="166">
        <f t="shared" si="42"/>
        <v>8</v>
      </c>
      <c r="AI125" s="99" t="s">
        <v>258</v>
      </c>
      <c r="AJ125" s="96" t="s">
        <v>171</v>
      </c>
      <c r="AK125" s="99" t="s">
        <v>1176</v>
      </c>
      <c r="AL125" s="97">
        <v>44589</v>
      </c>
      <c r="AM125" s="214">
        <v>162077952</v>
      </c>
      <c r="AN125" s="96" t="s">
        <v>1177</v>
      </c>
      <c r="AO125" s="96"/>
      <c r="AP125" s="181">
        <f t="shared" si="37"/>
        <v>2009830</v>
      </c>
      <c r="AQ125" s="138"/>
      <c r="AR125" s="138"/>
      <c r="AS125" s="99" t="s">
        <v>146</v>
      </c>
      <c r="AT125" s="99" t="s">
        <v>146</v>
      </c>
      <c r="AU125" s="138"/>
      <c r="AV125" s="99" t="s">
        <v>174</v>
      </c>
      <c r="AW125" s="99" t="s">
        <v>175</v>
      </c>
      <c r="AX125" s="99"/>
      <c r="AY125" s="167">
        <f t="shared" ref="AY125:AY127" si="43">+AP125/K125</f>
        <v>1.2248504888682083E-2</v>
      </c>
      <c r="AZ125" s="139">
        <f t="shared" si="36"/>
        <v>1</v>
      </c>
      <c r="BA125" s="139">
        <f>IF(T125="Invitación Privada",1,IF(T125="Invitación Pública",2,0))</f>
        <v>1</v>
      </c>
      <c r="BB125" s="132">
        <f>IF(AA125="CONTRATADO",IF(BA125=1,NETWORKDAYS.INTL(E125,AD125,1,[1]FESTIVOS!$B$3:$B$10)-1,AD125-E125))-BD125</f>
        <v>6</v>
      </c>
      <c r="BC125" s="157"/>
      <c r="BD125" s="96">
        <v>0</v>
      </c>
      <c r="BE125" s="386" t="s">
        <v>2052</v>
      </c>
      <c r="BF125" s="160"/>
    </row>
    <row r="126" spans="2:58" ht="43.9" customHeight="1" x14ac:dyDescent="0.25">
      <c r="B126" s="100">
        <f t="shared" si="35"/>
        <v>108</v>
      </c>
      <c r="C126" s="110" t="s">
        <v>916</v>
      </c>
      <c r="D126" s="99" t="s">
        <v>359</v>
      </c>
      <c r="E126" s="140">
        <v>44587</v>
      </c>
      <c r="F126" s="268" t="s">
        <v>4431</v>
      </c>
      <c r="G126" s="96" t="s">
        <v>917</v>
      </c>
      <c r="H126" s="96" t="s">
        <v>918</v>
      </c>
      <c r="I126" s="96" t="s">
        <v>146</v>
      </c>
      <c r="J126" s="133" t="s">
        <v>919</v>
      </c>
      <c r="K126" s="341">
        <v>357780000</v>
      </c>
      <c r="L126" s="96" t="s">
        <v>549</v>
      </c>
      <c r="M126" s="99" t="s">
        <v>920</v>
      </c>
      <c r="N126" s="99"/>
      <c r="O126" s="99">
        <v>202202135</v>
      </c>
      <c r="P126" s="165">
        <v>357780000</v>
      </c>
      <c r="Q126" s="99" t="s">
        <v>146</v>
      </c>
      <c r="R126" s="99" t="s">
        <v>146</v>
      </c>
      <c r="S126" s="99"/>
      <c r="T126" s="111" t="s">
        <v>43</v>
      </c>
      <c r="U126" s="96" t="s">
        <v>921</v>
      </c>
      <c r="V126" s="140">
        <v>44587</v>
      </c>
      <c r="W126" s="166"/>
      <c r="X126" s="166"/>
      <c r="Y126" s="99"/>
      <c r="Z126" s="96" t="s">
        <v>168</v>
      </c>
      <c r="AA126" s="99" t="s">
        <v>169</v>
      </c>
      <c r="AB126" s="96" t="s">
        <v>922</v>
      </c>
      <c r="AC126" s="96"/>
      <c r="AD126" s="97">
        <v>44607</v>
      </c>
      <c r="AE126" s="362" t="s">
        <v>4431</v>
      </c>
      <c r="AF126" s="98"/>
      <c r="AG126" s="166">
        <f t="shared" si="41"/>
        <v>20</v>
      </c>
      <c r="AH126" s="166">
        <f t="shared" si="42"/>
        <v>20</v>
      </c>
      <c r="AI126" s="99" t="s">
        <v>258</v>
      </c>
      <c r="AJ126" s="96" t="s">
        <v>171</v>
      </c>
      <c r="AK126" s="99" t="s">
        <v>1178</v>
      </c>
      <c r="AL126" s="97">
        <v>44589</v>
      </c>
      <c r="AM126" s="214">
        <v>357779912</v>
      </c>
      <c r="AN126" s="96" t="s">
        <v>1179</v>
      </c>
      <c r="AO126" s="96"/>
      <c r="AP126" s="181">
        <f t="shared" si="37"/>
        <v>88</v>
      </c>
      <c r="AQ126" s="138"/>
      <c r="AR126" s="138"/>
      <c r="AS126" s="99" t="s">
        <v>146</v>
      </c>
      <c r="AT126" s="99" t="s">
        <v>146</v>
      </c>
      <c r="AU126" s="138"/>
      <c r="AV126" s="99" t="s">
        <v>174</v>
      </c>
      <c r="AW126" s="99" t="s">
        <v>175</v>
      </c>
      <c r="AX126" s="99"/>
      <c r="AY126" s="167">
        <f t="shared" si="43"/>
        <v>2.4596120520990555E-7</v>
      </c>
      <c r="AZ126" s="139">
        <f t="shared" si="36"/>
        <v>0</v>
      </c>
      <c r="BA126" s="139">
        <f>IF(T126="Invitación Privada",1,IF(T126="Invitación Pública",2,0))</f>
        <v>1</v>
      </c>
      <c r="BB126" s="132">
        <f>IF(AA126="CONTRATADO",IF(BA126=1,NETWORKDAYS.INTL(E126,AD126,1,[1]FESTIVOS!$B$3:$B$10)-1,AD126-E126))-BD126</f>
        <v>14</v>
      </c>
      <c r="BC126" s="157"/>
      <c r="BD126" s="162">
        <v>0</v>
      </c>
      <c r="BE126" s="382" t="s">
        <v>2052</v>
      </c>
      <c r="BF126" s="160"/>
    </row>
    <row r="127" spans="2:58" ht="43.9" customHeight="1" x14ac:dyDescent="0.25">
      <c r="B127" s="100">
        <f t="shared" si="35"/>
        <v>109</v>
      </c>
      <c r="C127" s="110" t="s">
        <v>923</v>
      </c>
      <c r="D127" s="99" t="s">
        <v>359</v>
      </c>
      <c r="E127" s="140">
        <v>44587</v>
      </c>
      <c r="F127" s="268" t="s">
        <v>4431</v>
      </c>
      <c r="G127" s="96" t="s">
        <v>924</v>
      </c>
      <c r="H127" s="96" t="s">
        <v>925</v>
      </c>
      <c r="I127" s="96" t="s">
        <v>146</v>
      </c>
      <c r="J127" s="133" t="s">
        <v>926</v>
      </c>
      <c r="K127" s="341">
        <v>185000000</v>
      </c>
      <c r="L127" s="96" t="s">
        <v>328</v>
      </c>
      <c r="M127" s="99" t="s">
        <v>927</v>
      </c>
      <c r="N127" s="99"/>
      <c r="O127" s="99">
        <v>202202136</v>
      </c>
      <c r="P127" s="165">
        <v>185000000</v>
      </c>
      <c r="Q127" s="99" t="s">
        <v>146</v>
      </c>
      <c r="R127" s="99" t="s">
        <v>146</v>
      </c>
      <c r="S127" s="99"/>
      <c r="T127" s="111" t="s">
        <v>43</v>
      </c>
      <c r="U127" s="96" t="s">
        <v>921</v>
      </c>
      <c r="V127" s="140">
        <v>44587</v>
      </c>
      <c r="W127" s="166"/>
      <c r="X127" s="166"/>
      <c r="Y127" s="99"/>
      <c r="Z127" s="96" t="s">
        <v>168</v>
      </c>
      <c r="AA127" s="99" t="s">
        <v>169</v>
      </c>
      <c r="AB127" s="96" t="s">
        <v>928</v>
      </c>
      <c r="AC127" s="96"/>
      <c r="AD127" s="97">
        <v>44600</v>
      </c>
      <c r="AE127" s="362" t="s">
        <v>4431</v>
      </c>
      <c r="AF127" s="98"/>
      <c r="AG127" s="166">
        <f t="shared" si="41"/>
        <v>13</v>
      </c>
      <c r="AH127" s="166">
        <f t="shared" si="42"/>
        <v>13</v>
      </c>
      <c r="AI127" s="99" t="s">
        <v>258</v>
      </c>
      <c r="AJ127" s="96" t="s">
        <v>171</v>
      </c>
      <c r="AK127" s="99" t="s">
        <v>1180</v>
      </c>
      <c r="AL127" s="97">
        <v>44589</v>
      </c>
      <c r="AM127" s="214">
        <v>185000000</v>
      </c>
      <c r="AN127" s="96" t="s">
        <v>1181</v>
      </c>
      <c r="AO127" s="96"/>
      <c r="AP127" s="181">
        <f t="shared" si="37"/>
        <v>0</v>
      </c>
      <c r="AQ127" s="138"/>
      <c r="AR127" s="138"/>
      <c r="AS127" s="99" t="s">
        <v>146</v>
      </c>
      <c r="AT127" s="99" t="s">
        <v>146</v>
      </c>
      <c r="AU127" s="138"/>
      <c r="AV127" s="99" t="s">
        <v>174</v>
      </c>
      <c r="AW127" s="99" t="s">
        <v>175</v>
      </c>
      <c r="AX127" s="99"/>
      <c r="AY127" s="167">
        <f t="shared" si="43"/>
        <v>0</v>
      </c>
      <c r="AZ127" s="139">
        <f t="shared" si="36"/>
        <v>0</v>
      </c>
      <c r="BA127" s="139">
        <f>IF(T127="Invitación Privada",1,IF(T127="Invitación Pública",2,0))</f>
        <v>1</v>
      </c>
      <c r="BB127" s="132">
        <f>IF(AA127="CONTRATADO",IF(BA127=1,NETWORKDAYS.INTL(E127,AD127,1,[1]FESTIVOS!$B$3:$B$10)-1,AD127-E127))-BD127</f>
        <v>9</v>
      </c>
      <c r="BC127" s="157"/>
      <c r="BD127" s="96">
        <v>0</v>
      </c>
      <c r="BE127" s="386" t="s">
        <v>2052</v>
      </c>
    </row>
    <row r="128" spans="2:58" ht="43.9" customHeight="1" x14ac:dyDescent="0.25">
      <c r="B128" s="100">
        <f t="shared" si="35"/>
        <v>110</v>
      </c>
      <c r="C128" s="293" t="s">
        <v>929</v>
      </c>
      <c r="D128" s="265" t="s">
        <v>28</v>
      </c>
      <c r="E128" s="272">
        <v>44587</v>
      </c>
      <c r="F128" s="268" t="s">
        <v>4431</v>
      </c>
      <c r="G128" s="269" t="s">
        <v>930</v>
      </c>
      <c r="H128" s="265" t="s">
        <v>931</v>
      </c>
      <c r="I128" s="265" t="s">
        <v>146</v>
      </c>
      <c r="J128" s="269" t="s">
        <v>932</v>
      </c>
      <c r="K128" s="342">
        <v>119987700</v>
      </c>
      <c r="L128" s="282"/>
      <c r="M128" s="265" t="s">
        <v>933</v>
      </c>
      <c r="N128" s="302" t="str">
        <f>MID(M128,5,3)</f>
        <v>IP-</v>
      </c>
      <c r="O128" s="265">
        <v>202201992</v>
      </c>
      <c r="P128" s="271"/>
      <c r="Q128" s="265" t="s">
        <v>146</v>
      </c>
      <c r="R128" s="265" t="s">
        <v>146</v>
      </c>
      <c r="S128" s="312" t="s">
        <v>146</v>
      </c>
      <c r="T128" s="111" t="s">
        <v>43</v>
      </c>
      <c r="U128" s="269" t="s">
        <v>572</v>
      </c>
      <c r="V128" s="285">
        <v>44587</v>
      </c>
      <c r="W128" s="303" t="e">
        <f>+$D$4-E128</f>
        <v>#VALUE!</v>
      </c>
      <c r="X128" s="303" t="e">
        <f>$D$4-V128</f>
        <v>#VALUE!</v>
      </c>
      <c r="Y128" s="265" t="s">
        <v>1300</v>
      </c>
      <c r="Z128" s="265" t="s">
        <v>214</v>
      </c>
      <c r="AA128" s="265" t="s">
        <v>215</v>
      </c>
      <c r="AB128" s="265"/>
      <c r="AC128" s="304" t="s">
        <v>934</v>
      </c>
      <c r="AD128" s="285">
        <v>44609</v>
      </c>
      <c r="AE128" s="285"/>
      <c r="AF128" s="305" t="str">
        <f>+IF(AD128="","",TEXT(AD128,"mmm"))</f>
        <v>feb</v>
      </c>
      <c r="AG128" s="306">
        <f t="shared" si="41"/>
        <v>22</v>
      </c>
      <c r="AH128" s="307">
        <f t="shared" si="42"/>
        <v>22</v>
      </c>
      <c r="AI128" s="265" t="s">
        <v>258</v>
      </c>
      <c r="AJ128" s="265" t="s">
        <v>171</v>
      </c>
      <c r="AK128" s="265"/>
      <c r="AL128" s="265"/>
      <c r="AM128" s="309"/>
      <c r="AN128" s="269"/>
      <c r="AO128" s="265"/>
      <c r="AP128" s="309">
        <f t="shared" ref="AP128:AP138" si="44">+K128-AM128</f>
        <v>119987700</v>
      </c>
      <c r="AQ128" s="289"/>
      <c r="AR128" s="269"/>
      <c r="AS128" s="265"/>
      <c r="AT128" s="260"/>
      <c r="AU128" s="260"/>
      <c r="AV128" s="200"/>
      <c r="AW128" s="200"/>
      <c r="AX128" s="200"/>
      <c r="AY128" s="200"/>
      <c r="AZ128" s="139">
        <f t="shared" si="36"/>
        <v>1</v>
      </c>
      <c r="BA128" s="200"/>
      <c r="BB128" s="203"/>
      <c r="BC128" s="95"/>
      <c r="BD128" s="337"/>
      <c r="BE128" s="337"/>
      <c r="BF128" s="160"/>
    </row>
    <row r="129" spans="2:58" ht="43.9" customHeight="1" x14ac:dyDescent="0.25">
      <c r="B129" s="100">
        <f t="shared" si="35"/>
        <v>111</v>
      </c>
      <c r="C129" s="293" t="s">
        <v>935</v>
      </c>
      <c r="D129" s="265" t="s">
        <v>28</v>
      </c>
      <c r="E129" s="272">
        <v>44587</v>
      </c>
      <c r="F129" s="268" t="s">
        <v>4431</v>
      </c>
      <c r="G129" s="269" t="s">
        <v>930</v>
      </c>
      <c r="H129" s="265" t="s">
        <v>936</v>
      </c>
      <c r="I129" s="265" t="s">
        <v>146</v>
      </c>
      <c r="J129" s="269" t="s">
        <v>937</v>
      </c>
      <c r="K129" s="342">
        <v>99995700</v>
      </c>
      <c r="L129" s="282"/>
      <c r="M129" s="265" t="s">
        <v>938</v>
      </c>
      <c r="N129" s="302" t="str">
        <f>MID(M129,5,3)</f>
        <v>IP-</v>
      </c>
      <c r="O129" s="265">
        <v>202201991</v>
      </c>
      <c r="P129" s="271"/>
      <c r="Q129" s="265" t="s">
        <v>146</v>
      </c>
      <c r="R129" s="265" t="s">
        <v>146</v>
      </c>
      <c r="S129" s="312" t="s">
        <v>146</v>
      </c>
      <c r="T129" s="111" t="s">
        <v>43</v>
      </c>
      <c r="U129" s="269" t="s">
        <v>572</v>
      </c>
      <c r="V129" s="284">
        <v>44587</v>
      </c>
      <c r="W129" s="303" t="e">
        <f>+$D$4-E129</f>
        <v>#VALUE!</v>
      </c>
      <c r="X129" s="303" t="e">
        <f>$D$4-V129</f>
        <v>#VALUE!</v>
      </c>
      <c r="Y129" s="265" t="s">
        <v>1300</v>
      </c>
      <c r="Z129" s="265" t="s">
        <v>214</v>
      </c>
      <c r="AA129" s="265" t="s">
        <v>215</v>
      </c>
      <c r="AB129" s="265"/>
      <c r="AC129" s="304" t="s">
        <v>934</v>
      </c>
      <c r="AD129" s="272">
        <v>44589</v>
      </c>
      <c r="AE129" s="272"/>
      <c r="AF129" s="305" t="str">
        <f>+IF(AD129="","",TEXT(AD129,"mmm"))</f>
        <v>ene</v>
      </c>
      <c r="AG129" s="306">
        <f t="shared" si="41"/>
        <v>2</v>
      </c>
      <c r="AH129" s="307">
        <f t="shared" si="42"/>
        <v>2</v>
      </c>
      <c r="AI129" s="265" t="s">
        <v>258</v>
      </c>
      <c r="AJ129" s="265" t="s">
        <v>171</v>
      </c>
      <c r="AK129" s="277"/>
      <c r="AL129" s="277"/>
      <c r="AM129" s="309"/>
      <c r="AN129" s="269"/>
      <c r="AO129" s="277"/>
      <c r="AP129" s="309">
        <f t="shared" si="44"/>
        <v>99995700</v>
      </c>
      <c r="AQ129" s="289"/>
      <c r="AR129" s="289"/>
      <c r="AS129" s="277"/>
      <c r="AT129" s="260"/>
      <c r="AU129" s="260"/>
      <c r="AV129" s="200"/>
      <c r="AW129" s="200"/>
      <c r="AX129" s="200"/>
      <c r="AY129" s="200"/>
      <c r="AZ129" s="139">
        <f t="shared" si="36"/>
        <v>1</v>
      </c>
      <c r="BA129" s="200"/>
      <c r="BB129" s="203"/>
      <c r="BC129" s="95"/>
      <c r="BD129" s="200"/>
      <c r="BE129" s="200"/>
      <c r="BF129" s="160"/>
    </row>
    <row r="130" spans="2:58" ht="43.9" customHeight="1" x14ac:dyDescent="0.25">
      <c r="B130" s="100">
        <f t="shared" si="35"/>
        <v>112</v>
      </c>
      <c r="C130" s="293" t="s">
        <v>939</v>
      </c>
      <c r="D130" s="265" t="s">
        <v>359</v>
      </c>
      <c r="E130" s="272">
        <v>44587</v>
      </c>
      <c r="F130" s="268" t="s">
        <v>4431</v>
      </c>
      <c r="G130" s="269" t="s">
        <v>940</v>
      </c>
      <c r="H130" s="265" t="s">
        <v>387</v>
      </c>
      <c r="I130" s="265" t="s">
        <v>146</v>
      </c>
      <c r="J130" s="269" t="s">
        <v>941</v>
      </c>
      <c r="K130" s="342">
        <v>230000000</v>
      </c>
      <c r="L130" s="282" t="s">
        <v>942</v>
      </c>
      <c r="M130" s="265" t="s">
        <v>943</v>
      </c>
      <c r="N130" s="302" t="str">
        <f>MID(M130,5,3)</f>
        <v>IP-</v>
      </c>
      <c r="O130" s="265">
        <v>202202125</v>
      </c>
      <c r="P130" s="271">
        <v>230000000</v>
      </c>
      <c r="Q130" s="312" t="s">
        <v>146</v>
      </c>
      <c r="R130" s="312" t="s">
        <v>146</v>
      </c>
      <c r="S130" s="312" t="s">
        <v>146</v>
      </c>
      <c r="T130" s="111" t="s">
        <v>43</v>
      </c>
      <c r="U130" s="269" t="s">
        <v>206</v>
      </c>
      <c r="V130" s="284">
        <v>44587</v>
      </c>
      <c r="W130" s="303" t="e">
        <f>+$D$4-E130</f>
        <v>#VALUE!</v>
      </c>
      <c r="X130" s="303" t="e">
        <f>$D$4-V130</f>
        <v>#VALUE!</v>
      </c>
      <c r="Y130" s="312" t="s">
        <v>1300</v>
      </c>
      <c r="Z130" s="265" t="s">
        <v>214</v>
      </c>
      <c r="AA130" s="265" t="s">
        <v>215</v>
      </c>
      <c r="AB130" s="265"/>
      <c r="AC130" s="304"/>
      <c r="AD130" s="272">
        <v>44587</v>
      </c>
      <c r="AE130" s="265"/>
      <c r="AF130" s="305" t="str">
        <f>+IF(AD130="","",TEXT(AD130,"mmm"))</f>
        <v>ene</v>
      </c>
      <c r="AG130" s="306">
        <f t="shared" si="41"/>
        <v>0</v>
      </c>
      <c r="AH130" s="307">
        <f t="shared" si="42"/>
        <v>0</v>
      </c>
      <c r="AI130" s="265" t="s">
        <v>258</v>
      </c>
      <c r="AJ130" s="265" t="s">
        <v>171</v>
      </c>
      <c r="AK130" s="277"/>
      <c r="AL130" s="277"/>
      <c r="AM130" s="309"/>
      <c r="AN130" s="269"/>
      <c r="AO130" s="277"/>
      <c r="AP130" s="309">
        <f t="shared" si="44"/>
        <v>230000000</v>
      </c>
      <c r="AQ130" s="289"/>
      <c r="AR130" s="289"/>
      <c r="AS130" s="277"/>
      <c r="AT130" s="260"/>
      <c r="AU130" s="260"/>
      <c r="AV130" s="200"/>
      <c r="AW130" s="200"/>
      <c r="AX130" s="200"/>
      <c r="AY130" s="200"/>
      <c r="AZ130" s="139">
        <f t="shared" si="36"/>
        <v>0</v>
      </c>
      <c r="BA130" s="200"/>
      <c r="BB130" s="203"/>
      <c r="BC130" s="95"/>
      <c r="BD130" s="2"/>
      <c r="BE130" s="2"/>
    </row>
    <row r="131" spans="2:58" ht="43.9" customHeight="1" x14ac:dyDescent="0.25">
      <c r="B131" s="100">
        <f t="shared" si="35"/>
        <v>113</v>
      </c>
      <c r="C131" s="110" t="s">
        <v>944</v>
      </c>
      <c r="D131" s="99" t="s">
        <v>28</v>
      </c>
      <c r="E131" s="140">
        <v>44588</v>
      </c>
      <c r="F131" s="268" t="s">
        <v>4431</v>
      </c>
      <c r="G131" s="96" t="s">
        <v>945</v>
      </c>
      <c r="H131" s="96" t="s">
        <v>946</v>
      </c>
      <c r="I131" s="96" t="s">
        <v>146</v>
      </c>
      <c r="J131" s="133" t="s">
        <v>947</v>
      </c>
      <c r="K131" s="341">
        <v>499993357</v>
      </c>
      <c r="L131" s="146" t="s">
        <v>1182</v>
      </c>
      <c r="M131" s="99" t="s">
        <v>1183</v>
      </c>
      <c r="N131" s="99"/>
      <c r="O131" s="99">
        <v>202202301</v>
      </c>
      <c r="P131" s="165">
        <v>500000000</v>
      </c>
      <c r="Q131" s="99" t="s">
        <v>146</v>
      </c>
      <c r="R131" s="99" t="s">
        <v>146</v>
      </c>
      <c r="S131" s="99"/>
      <c r="T131" s="111" t="s">
        <v>43</v>
      </c>
      <c r="U131" s="96" t="s">
        <v>213</v>
      </c>
      <c r="V131" s="140">
        <v>44588</v>
      </c>
      <c r="W131" s="166"/>
      <c r="X131" s="166"/>
      <c r="Y131" s="138"/>
      <c r="Z131" s="96" t="s">
        <v>168</v>
      </c>
      <c r="AA131" s="99" t="s">
        <v>169</v>
      </c>
      <c r="AB131" s="99"/>
      <c r="AC131" s="99"/>
      <c r="AD131" s="97">
        <v>44607</v>
      </c>
      <c r="AE131" s="362" t="s">
        <v>4431</v>
      </c>
      <c r="AF131" s="98"/>
      <c r="AG131" s="166">
        <f t="shared" si="41"/>
        <v>19</v>
      </c>
      <c r="AH131" s="166">
        <f t="shared" si="42"/>
        <v>19</v>
      </c>
      <c r="AI131" s="99" t="s">
        <v>258</v>
      </c>
      <c r="AJ131" s="146" t="s">
        <v>171</v>
      </c>
      <c r="AK131" s="138" t="s">
        <v>1184</v>
      </c>
      <c r="AL131" s="147">
        <v>44588</v>
      </c>
      <c r="AM131" s="214">
        <v>497493391</v>
      </c>
      <c r="AN131" s="96" t="s">
        <v>1118</v>
      </c>
      <c r="AO131" s="96"/>
      <c r="AP131" s="181">
        <f t="shared" si="44"/>
        <v>2499966</v>
      </c>
      <c r="AQ131" s="138"/>
      <c r="AR131" s="138"/>
      <c r="AS131" s="99" t="s">
        <v>146</v>
      </c>
      <c r="AT131" s="99" t="s">
        <v>146</v>
      </c>
      <c r="AU131" s="138"/>
      <c r="AV131" s="138" t="s">
        <v>174</v>
      </c>
      <c r="AW131" s="138" t="s">
        <v>175</v>
      </c>
      <c r="AX131" s="138"/>
      <c r="AY131" s="167">
        <f t="shared" ref="AY131:AY132" si="45">+AP131/K131</f>
        <v>4.9999984299791411E-3</v>
      </c>
      <c r="AZ131" s="139">
        <f t="shared" si="36"/>
        <v>1</v>
      </c>
      <c r="BA131" s="139">
        <f>IF(T131="Invitación Privada",1,IF(T131="Invitación Pública",2,0))</f>
        <v>1</v>
      </c>
      <c r="BB131" s="132">
        <f>IF(AA131="CONTRATADO",IF(BA131=1,NETWORKDAYS.INTL(E131,AD131,1,[1]FESTIVOS!$B$3:$B$10)-1,AD131-E131))-BD131</f>
        <v>13</v>
      </c>
      <c r="BC131" s="157"/>
      <c r="BD131" s="162">
        <v>0</v>
      </c>
      <c r="BE131" s="382" t="s">
        <v>2052</v>
      </c>
    </row>
    <row r="132" spans="2:58" ht="43.9" customHeight="1" x14ac:dyDescent="0.25">
      <c r="B132" s="100">
        <f t="shared" si="35"/>
        <v>114</v>
      </c>
      <c r="C132" s="110" t="s">
        <v>949</v>
      </c>
      <c r="D132" s="99" t="s">
        <v>359</v>
      </c>
      <c r="E132" s="140">
        <v>44588</v>
      </c>
      <c r="F132" s="268" t="s">
        <v>4431</v>
      </c>
      <c r="G132" s="96" t="s">
        <v>950</v>
      </c>
      <c r="H132" s="96" t="s">
        <v>361</v>
      </c>
      <c r="I132" s="96" t="s">
        <v>146</v>
      </c>
      <c r="J132" s="133" t="s">
        <v>951</v>
      </c>
      <c r="K132" s="341">
        <v>390000000</v>
      </c>
      <c r="L132" s="96" t="s">
        <v>363</v>
      </c>
      <c r="M132" s="99" t="s">
        <v>952</v>
      </c>
      <c r="N132" s="99"/>
      <c r="O132" s="99">
        <v>202202334</v>
      </c>
      <c r="P132" s="165">
        <v>395000000</v>
      </c>
      <c r="Q132" s="99" t="s">
        <v>146</v>
      </c>
      <c r="R132" s="99" t="s">
        <v>146</v>
      </c>
      <c r="S132" s="99"/>
      <c r="T132" s="111" t="s">
        <v>43</v>
      </c>
      <c r="U132" s="96" t="s">
        <v>206</v>
      </c>
      <c r="V132" s="140">
        <v>44588</v>
      </c>
      <c r="W132" s="166"/>
      <c r="X132" s="166"/>
      <c r="Y132" s="99"/>
      <c r="Z132" s="96" t="s">
        <v>168</v>
      </c>
      <c r="AA132" s="99" t="s">
        <v>169</v>
      </c>
      <c r="AB132" s="99" t="s">
        <v>953</v>
      </c>
      <c r="AC132" s="99"/>
      <c r="AD132" s="97">
        <v>44600</v>
      </c>
      <c r="AE132" s="362" t="s">
        <v>4431</v>
      </c>
      <c r="AF132" s="98"/>
      <c r="AG132" s="166">
        <f t="shared" si="41"/>
        <v>12</v>
      </c>
      <c r="AH132" s="166">
        <f t="shared" si="42"/>
        <v>12</v>
      </c>
      <c r="AI132" s="99" t="s">
        <v>258</v>
      </c>
      <c r="AJ132" s="96" t="s">
        <v>171</v>
      </c>
      <c r="AK132" s="99" t="s">
        <v>1185</v>
      </c>
      <c r="AL132" s="97">
        <v>44589</v>
      </c>
      <c r="AM132" s="214">
        <v>385400000</v>
      </c>
      <c r="AN132" s="96" t="s">
        <v>1156</v>
      </c>
      <c r="AO132" s="96"/>
      <c r="AP132" s="181">
        <f t="shared" si="44"/>
        <v>4600000</v>
      </c>
      <c r="AQ132" s="138"/>
      <c r="AR132" s="138"/>
      <c r="AS132" s="99" t="s">
        <v>146</v>
      </c>
      <c r="AT132" s="99" t="s">
        <v>146</v>
      </c>
      <c r="AU132" s="138"/>
      <c r="AV132" s="99" t="s">
        <v>174</v>
      </c>
      <c r="AW132" s="99" t="s">
        <v>175</v>
      </c>
      <c r="AX132" s="99"/>
      <c r="AY132" s="167">
        <f t="shared" si="45"/>
        <v>1.1794871794871795E-2</v>
      </c>
      <c r="AZ132" s="139">
        <f t="shared" si="36"/>
        <v>0</v>
      </c>
      <c r="BA132" s="139">
        <f>IF(T132="Invitación Privada",1,IF(T132="Invitación Pública",2,0))</f>
        <v>1</v>
      </c>
      <c r="BB132" s="132">
        <f>IF(AA132="CONTRATADO",IF(BA132=1,NETWORKDAYS.INTL(E132,AD132,1,[1]FESTIVOS!$B$3:$B$10)-1,AD132-E132))-BD132</f>
        <v>8</v>
      </c>
      <c r="BC132" s="157"/>
      <c r="BD132" s="162">
        <v>0</v>
      </c>
      <c r="BE132" s="382" t="s">
        <v>2052</v>
      </c>
    </row>
    <row r="133" spans="2:58" ht="43.9" customHeight="1" x14ac:dyDescent="0.25">
      <c r="B133" s="100">
        <f t="shared" si="35"/>
        <v>115</v>
      </c>
      <c r="C133" s="293" t="s">
        <v>954</v>
      </c>
      <c r="D133" s="265" t="s">
        <v>332</v>
      </c>
      <c r="E133" s="272">
        <v>44588</v>
      </c>
      <c r="F133" s="268" t="s">
        <v>4431</v>
      </c>
      <c r="G133" s="269" t="s">
        <v>540</v>
      </c>
      <c r="H133" s="265" t="s">
        <v>541</v>
      </c>
      <c r="I133" s="265" t="s">
        <v>146</v>
      </c>
      <c r="J133" s="269" t="s">
        <v>955</v>
      </c>
      <c r="K133" s="342">
        <v>199992024</v>
      </c>
      <c r="L133" s="282" t="s">
        <v>363</v>
      </c>
      <c r="M133" s="265"/>
      <c r="N133" s="302" t="str">
        <f>MID(M133,5,3)</f>
        <v/>
      </c>
      <c r="O133" s="265">
        <v>202201122</v>
      </c>
      <c r="P133" s="271">
        <v>200571511</v>
      </c>
      <c r="Q133" s="265" t="s">
        <v>146</v>
      </c>
      <c r="R133" s="265" t="s">
        <v>146</v>
      </c>
      <c r="S133" s="312" t="s">
        <v>146</v>
      </c>
      <c r="T133" s="280" t="str">
        <f>(IF(N133="IPU","INVITACION PUBLICA",(IF(N133="IP-","INVITACION PRIVADA"," "))))</f>
        <v xml:space="preserve"> </v>
      </c>
      <c r="U133" s="269" t="s">
        <v>277</v>
      </c>
      <c r="V133" s="284">
        <v>44588</v>
      </c>
      <c r="W133" s="303" t="e">
        <f>+$D$4-E133</f>
        <v>#VALUE!</v>
      </c>
      <c r="X133" s="303" t="e">
        <f>$D$4-V133</f>
        <v>#VALUE!</v>
      </c>
      <c r="Y133" s="265" t="s">
        <v>1300</v>
      </c>
      <c r="Z133" s="265" t="s">
        <v>214</v>
      </c>
      <c r="AA133" s="265" t="s">
        <v>215</v>
      </c>
      <c r="AB133" s="265"/>
      <c r="AC133" s="304" t="s">
        <v>956</v>
      </c>
      <c r="AD133" s="285">
        <v>44592</v>
      </c>
      <c r="AE133" s="285"/>
      <c r="AF133" s="305" t="str">
        <f>+IF(AD133="","",TEXT(AD133,"mmm"))</f>
        <v>ene</v>
      </c>
      <c r="AG133" s="306">
        <f t="shared" si="41"/>
        <v>4</v>
      </c>
      <c r="AH133" s="307">
        <f t="shared" si="42"/>
        <v>4</v>
      </c>
      <c r="AI133" s="265" t="s">
        <v>258</v>
      </c>
      <c r="AJ133" s="265" t="s">
        <v>171</v>
      </c>
      <c r="AK133" s="277"/>
      <c r="AL133" s="277"/>
      <c r="AM133" s="309"/>
      <c r="AN133" s="269"/>
      <c r="AO133" s="277"/>
      <c r="AP133" s="309">
        <f t="shared" si="44"/>
        <v>199992024</v>
      </c>
      <c r="AQ133" s="289"/>
      <c r="AR133" s="289"/>
      <c r="AS133" s="277"/>
      <c r="AT133" s="260"/>
      <c r="AU133" s="260"/>
      <c r="AV133" s="200"/>
      <c r="AW133" s="200"/>
      <c r="AX133" s="200"/>
      <c r="AY133" s="200"/>
      <c r="AZ133" s="139">
        <f t="shared" si="36"/>
        <v>0</v>
      </c>
      <c r="BA133" s="200"/>
      <c r="BB133" s="203"/>
      <c r="BC133" s="95"/>
      <c r="BD133" s="338"/>
      <c r="BE133" s="338"/>
    </row>
    <row r="134" spans="2:58" ht="43.9" customHeight="1" x14ac:dyDescent="0.25">
      <c r="B134" s="100">
        <f t="shared" si="35"/>
        <v>116</v>
      </c>
      <c r="C134" s="293" t="s">
        <v>957</v>
      </c>
      <c r="D134" s="265" t="s">
        <v>332</v>
      </c>
      <c r="E134" s="272">
        <v>44588</v>
      </c>
      <c r="F134" s="268" t="s">
        <v>4431</v>
      </c>
      <c r="G134" s="269" t="s">
        <v>958</v>
      </c>
      <c r="H134" s="265" t="s">
        <v>959</v>
      </c>
      <c r="I134" s="265" t="s">
        <v>146</v>
      </c>
      <c r="J134" s="269" t="s">
        <v>960</v>
      </c>
      <c r="K134" s="342">
        <v>69888700</v>
      </c>
      <c r="L134" s="282"/>
      <c r="M134" s="265"/>
      <c r="N134" s="302" t="str">
        <f>MID(M134,5,3)</f>
        <v/>
      </c>
      <c r="O134" s="265">
        <v>202201939</v>
      </c>
      <c r="P134" s="271"/>
      <c r="Q134" s="265" t="s">
        <v>146</v>
      </c>
      <c r="R134" s="265" t="s">
        <v>146</v>
      </c>
      <c r="S134" s="312" t="s">
        <v>146</v>
      </c>
      <c r="T134" s="280" t="str">
        <f>(IF(N134="IPU","INVITACION PUBLICA",(IF(N134="IP-","INVITACION PRIVADA"," "))))</f>
        <v xml:space="preserve"> </v>
      </c>
      <c r="U134" s="269" t="s">
        <v>401</v>
      </c>
      <c r="V134" s="284">
        <v>44588</v>
      </c>
      <c r="W134" s="303" t="e">
        <f>+$D$4-E134</f>
        <v>#VALUE!</v>
      </c>
      <c r="X134" s="303" t="e">
        <f>$D$4-V134</f>
        <v>#VALUE!</v>
      </c>
      <c r="Y134" s="265" t="s">
        <v>1300</v>
      </c>
      <c r="Z134" s="265" t="s">
        <v>214</v>
      </c>
      <c r="AA134" s="265" t="s">
        <v>215</v>
      </c>
      <c r="AB134" s="265"/>
      <c r="AC134" s="304" t="s">
        <v>934</v>
      </c>
      <c r="AD134" s="285">
        <v>44589</v>
      </c>
      <c r="AE134" s="285"/>
      <c r="AF134" s="305" t="str">
        <f>+IF(AD134="","",TEXT(AD134,"mmm"))</f>
        <v>ene</v>
      </c>
      <c r="AG134" s="306">
        <f t="shared" si="41"/>
        <v>1</v>
      </c>
      <c r="AH134" s="307">
        <f t="shared" si="42"/>
        <v>1</v>
      </c>
      <c r="AI134" s="265" t="s">
        <v>258</v>
      </c>
      <c r="AJ134" s="265" t="s">
        <v>171</v>
      </c>
      <c r="AK134" s="277"/>
      <c r="AL134" s="277"/>
      <c r="AM134" s="309"/>
      <c r="AN134" s="269"/>
      <c r="AO134" s="277"/>
      <c r="AP134" s="309">
        <f t="shared" si="44"/>
        <v>69888700</v>
      </c>
      <c r="AQ134" s="289"/>
      <c r="AR134" s="289"/>
      <c r="AS134" s="277"/>
      <c r="AT134" s="260"/>
      <c r="AU134" s="260"/>
      <c r="AV134" s="200"/>
      <c r="AW134" s="200"/>
      <c r="AX134" s="200"/>
      <c r="AY134" s="200"/>
      <c r="AZ134" s="139">
        <f t="shared" si="36"/>
        <v>0</v>
      </c>
      <c r="BA134" s="200"/>
      <c r="BB134" s="203"/>
      <c r="BC134" s="95"/>
      <c r="BD134" s="200"/>
      <c r="BE134" s="200"/>
      <c r="BF134" s="160"/>
    </row>
    <row r="135" spans="2:58" ht="43.9" customHeight="1" x14ac:dyDescent="0.25">
      <c r="B135" s="100">
        <f t="shared" si="35"/>
        <v>117</v>
      </c>
      <c r="C135" s="293" t="s">
        <v>961</v>
      </c>
      <c r="D135" s="312" t="s">
        <v>32</v>
      </c>
      <c r="E135" s="272">
        <v>44588</v>
      </c>
      <c r="F135" s="268" t="s">
        <v>4431</v>
      </c>
      <c r="G135" s="269" t="s">
        <v>962</v>
      </c>
      <c r="H135" s="265" t="s">
        <v>963</v>
      </c>
      <c r="I135" s="265" t="s">
        <v>146</v>
      </c>
      <c r="J135" s="269" t="s">
        <v>964</v>
      </c>
      <c r="K135" s="342">
        <v>157827595</v>
      </c>
      <c r="L135" s="282" t="s">
        <v>965</v>
      </c>
      <c r="M135" s="265"/>
      <c r="N135" s="302" t="str">
        <f>MID(M135,5,3)</f>
        <v/>
      </c>
      <c r="O135" s="265">
        <v>202202372</v>
      </c>
      <c r="P135" s="271">
        <v>157827595</v>
      </c>
      <c r="Q135" s="265" t="s">
        <v>146</v>
      </c>
      <c r="R135" s="265" t="s">
        <v>146</v>
      </c>
      <c r="S135" s="312" t="s">
        <v>146</v>
      </c>
      <c r="T135" s="280" t="s">
        <v>4444</v>
      </c>
      <c r="U135" s="269" t="s">
        <v>161</v>
      </c>
      <c r="V135" s="284">
        <v>44588</v>
      </c>
      <c r="W135" s="303" t="e">
        <f>+$D$4-E135</f>
        <v>#VALUE!</v>
      </c>
      <c r="X135" s="303" t="e">
        <f>$D$4-V135</f>
        <v>#VALUE!</v>
      </c>
      <c r="Y135" s="265" t="s">
        <v>1300</v>
      </c>
      <c r="Z135" s="265" t="s">
        <v>214</v>
      </c>
      <c r="AA135" s="265" t="s">
        <v>215</v>
      </c>
      <c r="AB135" s="265"/>
      <c r="AC135" s="304" t="s">
        <v>966</v>
      </c>
      <c r="AD135" s="285">
        <v>44592</v>
      </c>
      <c r="AE135" s="285"/>
      <c r="AF135" s="305" t="str">
        <f>+IF(AD135="","",TEXT(AD135,"mmm"))</f>
        <v>ene</v>
      </c>
      <c r="AG135" s="306">
        <f t="shared" si="41"/>
        <v>4</v>
      </c>
      <c r="AH135" s="307">
        <f t="shared" si="42"/>
        <v>4</v>
      </c>
      <c r="AI135" s="265" t="s">
        <v>258</v>
      </c>
      <c r="AJ135" s="265" t="s">
        <v>171</v>
      </c>
      <c r="AK135" s="265"/>
      <c r="AL135" s="265"/>
      <c r="AM135" s="309"/>
      <c r="AN135" s="269"/>
      <c r="AO135" s="265"/>
      <c r="AP135" s="309">
        <f t="shared" si="44"/>
        <v>157827595</v>
      </c>
      <c r="AQ135" s="289"/>
      <c r="AR135" s="269"/>
      <c r="AS135" s="265"/>
      <c r="AT135" s="260"/>
      <c r="AU135" s="260"/>
      <c r="AV135" s="200"/>
      <c r="AW135" s="200"/>
      <c r="AX135" s="200"/>
      <c r="AY135" s="200"/>
      <c r="AZ135" s="139">
        <f t="shared" si="36"/>
        <v>1</v>
      </c>
      <c r="BA135" s="200"/>
      <c r="BB135" s="203"/>
      <c r="BC135" s="95"/>
      <c r="BD135" s="2"/>
      <c r="BE135" s="2"/>
      <c r="BF135" s="160"/>
    </row>
    <row r="136" spans="2:58" ht="43.9" customHeight="1" x14ac:dyDescent="0.25">
      <c r="B136" s="100">
        <f t="shared" si="35"/>
        <v>118</v>
      </c>
      <c r="C136" s="293" t="s">
        <v>967</v>
      </c>
      <c r="D136" s="312" t="s">
        <v>32</v>
      </c>
      <c r="E136" s="272">
        <v>44588</v>
      </c>
      <c r="F136" s="268" t="s">
        <v>4431</v>
      </c>
      <c r="G136" s="269" t="s">
        <v>968</v>
      </c>
      <c r="H136" s="265" t="s">
        <v>969</v>
      </c>
      <c r="I136" s="265" t="s">
        <v>146</v>
      </c>
      <c r="J136" s="269" t="s">
        <v>970</v>
      </c>
      <c r="K136" s="342">
        <v>36899520</v>
      </c>
      <c r="L136" s="282"/>
      <c r="M136" s="265"/>
      <c r="N136" s="302" t="str">
        <f>MID(M136,5,3)</f>
        <v/>
      </c>
      <c r="O136" s="265">
        <v>202202298</v>
      </c>
      <c r="P136" s="271"/>
      <c r="Q136" s="265" t="s">
        <v>146</v>
      </c>
      <c r="R136" s="265" t="s">
        <v>146</v>
      </c>
      <c r="S136" s="312" t="s">
        <v>146</v>
      </c>
      <c r="T136" s="280" t="str">
        <f>(IF(N136="IPU","INVITACION PUBLICA",(IF(N136="IP-","INVITACION PRIVADA"," "))))</f>
        <v xml:space="preserve"> </v>
      </c>
      <c r="U136" s="269" t="s">
        <v>452</v>
      </c>
      <c r="V136" s="284">
        <v>44588</v>
      </c>
      <c r="W136" s="303" t="e">
        <f>+$D$4-E136</f>
        <v>#VALUE!</v>
      </c>
      <c r="X136" s="303" t="e">
        <f>$D$4-V136</f>
        <v>#VALUE!</v>
      </c>
      <c r="Y136" s="265" t="s">
        <v>1300</v>
      </c>
      <c r="Z136" s="265" t="s">
        <v>214</v>
      </c>
      <c r="AA136" s="265" t="s">
        <v>215</v>
      </c>
      <c r="AB136" s="265"/>
      <c r="AC136" s="304" t="s">
        <v>1294</v>
      </c>
      <c r="AD136" s="285">
        <v>44589</v>
      </c>
      <c r="AE136" s="285"/>
      <c r="AF136" s="305" t="str">
        <f>+IF(AD136="","",TEXT(AD136,"mmm"))</f>
        <v>ene</v>
      </c>
      <c r="AG136" s="306">
        <f t="shared" si="41"/>
        <v>1</v>
      </c>
      <c r="AH136" s="307">
        <f t="shared" si="42"/>
        <v>1</v>
      </c>
      <c r="AI136" s="265" t="s">
        <v>258</v>
      </c>
      <c r="AJ136" s="265" t="s">
        <v>171</v>
      </c>
      <c r="AK136" s="277"/>
      <c r="AL136" s="277"/>
      <c r="AM136" s="309"/>
      <c r="AN136" s="269"/>
      <c r="AO136" s="277"/>
      <c r="AP136" s="309">
        <f t="shared" si="44"/>
        <v>36899520</v>
      </c>
      <c r="AQ136" s="289"/>
      <c r="AR136" s="289"/>
      <c r="AS136" s="277"/>
      <c r="AT136" s="260"/>
      <c r="AU136" s="260"/>
      <c r="AV136" s="200"/>
      <c r="AW136" s="200"/>
      <c r="AX136" s="200"/>
      <c r="AY136" s="200"/>
      <c r="AZ136" s="139">
        <f t="shared" si="36"/>
        <v>1</v>
      </c>
      <c r="BA136" s="200"/>
      <c r="BB136" s="203"/>
      <c r="BC136" s="95"/>
      <c r="BD136" s="2"/>
      <c r="BE136" s="2"/>
    </row>
    <row r="137" spans="2:58" ht="43.9" customHeight="1" x14ac:dyDescent="0.25">
      <c r="B137" s="100">
        <f t="shared" si="35"/>
        <v>119</v>
      </c>
      <c r="C137" s="293" t="s">
        <v>971</v>
      </c>
      <c r="D137" s="312" t="s">
        <v>32</v>
      </c>
      <c r="E137" s="272">
        <v>44588</v>
      </c>
      <c r="F137" s="268" t="s">
        <v>4431</v>
      </c>
      <c r="G137" s="269" t="s">
        <v>972</v>
      </c>
      <c r="H137" s="265" t="s">
        <v>973</v>
      </c>
      <c r="I137" s="265" t="s">
        <v>146</v>
      </c>
      <c r="J137" s="269" t="s">
        <v>974</v>
      </c>
      <c r="K137" s="342">
        <v>95200000</v>
      </c>
      <c r="L137" s="282"/>
      <c r="M137" s="265" t="s">
        <v>602</v>
      </c>
      <c r="N137" s="302" t="str">
        <f>MID(M137,5,3)</f>
        <v>IP-</v>
      </c>
      <c r="O137" s="265">
        <v>202202439</v>
      </c>
      <c r="P137" s="271"/>
      <c r="Q137" s="265" t="s">
        <v>146</v>
      </c>
      <c r="R137" s="265" t="s">
        <v>146</v>
      </c>
      <c r="S137" s="312" t="s">
        <v>146</v>
      </c>
      <c r="T137" s="111" t="s">
        <v>43</v>
      </c>
      <c r="U137" s="269" t="s">
        <v>452</v>
      </c>
      <c r="V137" s="284">
        <v>44588</v>
      </c>
      <c r="W137" s="303" t="e">
        <f>+$D$4-E137</f>
        <v>#VALUE!</v>
      </c>
      <c r="X137" s="303" t="e">
        <f>$D$4-V137</f>
        <v>#VALUE!</v>
      </c>
      <c r="Y137" s="265" t="s">
        <v>1300</v>
      </c>
      <c r="Z137" s="265" t="s">
        <v>214</v>
      </c>
      <c r="AA137" s="265" t="s">
        <v>215</v>
      </c>
      <c r="AB137" s="265"/>
      <c r="AC137" s="304" t="s">
        <v>1295</v>
      </c>
      <c r="AD137" s="285">
        <v>44589</v>
      </c>
      <c r="AE137" s="285"/>
      <c r="AF137" s="305" t="str">
        <f>+IF(AD137="","",TEXT(AD137,"mmm"))</f>
        <v>ene</v>
      </c>
      <c r="AG137" s="306">
        <f t="shared" si="41"/>
        <v>1</v>
      </c>
      <c r="AH137" s="307">
        <f t="shared" si="42"/>
        <v>1</v>
      </c>
      <c r="AI137" s="265" t="s">
        <v>258</v>
      </c>
      <c r="AJ137" s="265" t="s">
        <v>171</v>
      </c>
      <c r="AK137" s="265"/>
      <c r="AL137" s="265"/>
      <c r="AM137" s="309"/>
      <c r="AN137" s="269"/>
      <c r="AO137" s="265"/>
      <c r="AP137" s="309">
        <f t="shared" si="44"/>
        <v>95200000</v>
      </c>
      <c r="AQ137" s="289"/>
      <c r="AR137" s="269"/>
      <c r="AS137" s="265"/>
      <c r="AT137" s="260"/>
      <c r="AU137" s="260"/>
      <c r="AV137" s="200"/>
      <c r="AW137" s="200"/>
      <c r="AX137" s="200"/>
      <c r="AY137" s="200"/>
      <c r="AZ137" s="139">
        <f t="shared" si="36"/>
        <v>1</v>
      </c>
      <c r="BA137" s="200"/>
      <c r="BB137" s="203"/>
      <c r="BC137" s="95"/>
      <c r="BD137" s="2"/>
      <c r="BE137" s="2"/>
    </row>
    <row r="138" spans="2:58" ht="43.9" customHeight="1" x14ac:dyDescent="0.25">
      <c r="B138" s="100">
        <f t="shared" si="35"/>
        <v>120</v>
      </c>
      <c r="C138" s="110" t="s">
        <v>975</v>
      </c>
      <c r="D138" s="96" t="s">
        <v>32</v>
      </c>
      <c r="E138" s="140">
        <v>44588</v>
      </c>
      <c r="F138" s="268" t="s">
        <v>4431</v>
      </c>
      <c r="G138" s="96" t="s">
        <v>976</v>
      </c>
      <c r="H138" s="96" t="s">
        <v>827</v>
      </c>
      <c r="I138" s="96" t="s">
        <v>146</v>
      </c>
      <c r="J138" s="133" t="s">
        <v>828</v>
      </c>
      <c r="K138" s="341">
        <v>60695367</v>
      </c>
      <c r="L138" s="96" t="s">
        <v>328</v>
      </c>
      <c r="M138" s="96" t="s">
        <v>1187</v>
      </c>
      <c r="N138" s="96"/>
      <c r="O138" s="99">
        <v>202201916</v>
      </c>
      <c r="P138" s="165">
        <v>152821240</v>
      </c>
      <c r="Q138" s="96" t="s">
        <v>146</v>
      </c>
      <c r="R138" s="96" t="s">
        <v>146</v>
      </c>
      <c r="S138" s="96"/>
      <c r="T138" s="111" t="s">
        <v>43</v>
      </c>
      <c r="U138" s="96" t="s">
        <v>452</v>
      </c>
      <c r="V138" s="140">
        <v>44588</v>
      </c>
      <c r="W138" s="166"/>
      <c r="X138" s="166"/>
      <c r="Y138" s="96"/>
      <c r="Z138" s="96" t="s">
        <v>168</v>
      </c>
      <c r="AA138" s="96" t="s">
        <v>169</v>
      </c>
      <c r="AB138" s="96"/>
      <c r="AC138" s="96"/>
      <c r="AD138" s="141">
        <v>44600</v>
      </c>
      <c r="AE138" s="362" t="s">
        <v>4431</v>
      </c>
      <c r="AF138" s="98"/>
      <c r="AG138" s="166">
        <f t="shared" si="41"/>
        <v>12</v>
      </c>
      <c r="AH138" s="166">
        <f t="shared" si="42"/>
        <v>12</v>
      </c>
      <c r="AI138" s="96" t="s">
        <v>258</v>
      </c>
      <c r="AJ138" s="96" t="s">
        <v>830</v>
      </c>
      <c r="AK138" s="96" t="s">
        <v>1188</v>
      </c>
      <c r="AL138" s="141">
        <v>44589</v>
      </c>
      <c r="AM138" s="214">
        <v>60695367</v>
      </c>
      <c r="AN138" s="96" t="s">
        <v>1189</v>
      </c>
      <c r="AO138" s="96"/>
      <c r="AP138" s="181">
        <f t="shared" si="44"/>
        <v>0</v>
      </c>
      <c r="AQ138" s="138"/>
      <c r="AR138" s="138"/>
      <c r="AS138" s="96" t="s">
        <v>1149</v>
      </c>
      <c r="AT138" s="141">
        <v>44580</v>
      </c>
      <c r="AU138" s="138"/>
      <c r="AV138" s="96" t="s">
        <v>1000</v>
      </c>
      <c r="AW138" s="96" t="s">
        <v>692</v>
      </c>
      <c r="AX138" s="96"/>
      <c r="AY138" s="167">
        <f>+AP138/K138</f>
        <v>0</v>
      </c>
      <c r="AZ138" s="139">
        <f t="shared" si="36"/>
        <v>1</v>
      </c>
      <c r="BA138" s="139">
        <f>IF(T138="Invitación Privada",1,IF(T138="Invitación Pública",2,0))</f>
        <v>1</v>
      </c>
      <c r="BB138" s="132">
        <f>IF(AA138="CONTRATADO",IF(BA138=1,NETWORKDAYS.INTL(E138,AD138,1,[1]FESTIVOS!$B$3:$B$10)-1,AD138-E138))-BD138</f>
        <v>8</v>
      </c>
      <c r="BC138" s="157"/>
      <c r="BD138" s="162">
        <v>0</v>
      </c>
      <c r="BE138" s="382" t="s">
        <v>2052</v>
      </c>
    </row>
    <row r="139" spans="2:58" ht="43.9" customHeight="1" x14ac:dyDescent="0.25">
      <c r="B139" s="100">
        <f t="shared" si="35"/>
        <v>121</v>
      </c>
      <c r="C139" s="293" t="s">
        <v>1190</v>
      </c>
      <c r="D139" s="265" t="s">
        <v>28</v>
      </c>
      <c r="E139" s="272">
        <v>44593</v>
      </c>
      <c r="F139" s="268" t="s">
        <v>4432</v>
      </c>
      <c r="G139" s="269" t="s">
        <v>1191</v>
      </c>
      <c r="H139" s="265" t="s">
        <v>1192</v>
      </c>
      <c r="I139" s="265" t="s">
        <v>146</v>
      </c>
      <c r="J139" s="269" t="s">
        <v>1193</v>
      </c>
      <c r="K139" s="342">
        <v>119148750</v>
      </c>
      <c r="L139" s="282"/>
      <c r="M139" s="265" t="s">
        <v>1301</v>
      </c>
      <c r="N139" s="302" t="str">
        <f>MID(M139,5,3)</f>
        <v>IPU</v>
      </c>
      <c r="O139" s="265">
        <v>202201931</v>
      </c>
      <c r="P139" s="271"/>
      <c r="Q139" s="265" t="s">
        <v>146</v>
      </c>
      <c r="R139" s="265" t="s">
        <v>146</v>
      </c>
      <c r="S139" s="265" t="s">
        <v>1561</v>
      </c>
      <c r="T139" s="111" t="s">
        <v>40</v>
      </c>
      <c r="U139" s="269" t="s">
        <v>452</v>
      </c>
      <c r="V139" s="284">
        <v>44595</v>
      </c>
      <c r="W139" s="303" t="e">
        <f>+$D$4-E139</f>
        <v>#VALUE!</v>
      </c>
      <c r="X139" s="303" t="e">
        <f>$D$4-V139</f>
        <v>#VALUE!</v>
      </c>
      <c r="Y139" s="265" t="s">
        <v>1300</v>
      </c>
      <c r="Z139" s="265" t="s">
        <v>152</v>
      </c>
      <c r="AA139" s="265" t="s">
        <v>153</v>
      </c>
      <c r="AB139" s="265"/>
      <c r="AC139" s="304" t="s">
        <v>1302</v>
      </c>
      <c r="AD139" s="265"/>
      <c r="AE139" s="265"/>
      <c r="AF139" s="305" t="str">
        <f>+IF(AD139="","",TEXT(AD139,"mmm"))</f>
        <v/>
      </c>
      <c r="AG139" s="306">
        <f t="shared" si="41"/>
        <v>-44593</v>
      </c>
      <c r="AH139" s="307">
        <f t="shared" si="42"/>
        <v>-44595</v>
      </c>
      <c r="AI139" s="265"/>
      <c r="AJ139" s="265" t="s">
        <v>171</v>
      </c>
      <c r="AK139" s="265"/>
      <c r="AL139" s="265"/>
      <c r="AM139" s="265"/>
      <c r="AN139" s="309"/>
      <c r="AO139" s="269"/>
      <c r="AP139" s="265"/>
      <c r="AQ139" s="309">
        <f>+K139-AN139</f>
        <v>119148750</v>
      </c>
      <c r="AR139" s="289"/>
      <c r="AS139" s="269"/>
      <c r="AT139" s="265"/>
      <c r="AU139" s="260"/>
      <c r="AV139" s="260"/>
      <c r="AW139" s="200"/>
      <c r="AX139" s="200"/>
      <c r="AY139" s="200"/>
      <c r="AZ139" s="139">
        <f t="shared" si="36"/>
        <v>1</v>
      </c>
      <c r="BA139" s="200"/>
      <c r="BB139" s="200"/>
      <c r="BC139" s="3"/>
      <c r="BD139" s="95"/>
      <c r="BE139" s="2"/>
    </row>
    <row r="140" spans="2:58" ht="43.9" customHeight="1" x14ac:dyDescent="0.25">
      <c r="B140" s="100">
        <f t="shared" si="35"/>
        <v>122</v>
      </c>
      <c r="C140" s="293" t="s">
        <v>1194</v>
      </c>
      <c r="D140" s="265" t="s">
        <v>28</v>
      </c>
      <c r="E140" s="272">
        <v>44595</v>
      </c>
      <c r="F140" s="268" t="s">
        <v>4432</v>
      </c>
      <c r="G140" s="269" t="s">
        <v>1195</v>
      </c>
      <c r="H140" s="265" t="s">
        <v>1196</v>
      </c>
      <c r="I140" s="265" t="s">
        <v>146</v>
      </c>
      <c r="J140" s="269" t="s">
        <v>1197</v>
      </c>
      <c r="K140" s="342">
        <v>200500000</v>
      </c>
      <c r="L140" s="282"/>
      <c r="M140" s="265" t="s">
        <v>1329</v>
      </c>
      <c r="N140" s="302" t="str">
        <f>MID(M140,5,3)</f>
        <v>IPU</v>
      </c>
      <c r="O140" s="265">
        <v>202202197</v>
      </c>
      <c r="P140" s="271">
        <v>200500000</v>
      </c>
      <c r="Q140" s="265" t="s">
        <v>146</v>
      </c>
      <c r="R140" s="265" t="s">
        <v>146</v>
      </c>
      <c r="S140" s="265" t="s">
        <v>1561</v>
      </c>
      <c r="T140" s="111" t="s">
        <v>40</v>
      </c>
      <c r="U140" s="269" t="s">
        <v>213</v>
      </c>
      <c r="V140" s="284">
        <v>44595</v>
      </c>
      <c r="W140" s="303" t="e">
        <f>+$D$4-E140</f>
        <v>#VALUE!</v>
      </c>
      <c r="X140" s="303" t="e">
        <f>$D$4-V140</f>
        <v>#VALUE!</v>
      </c>
      <c r="Y140" s="265" t="s">
        <v>1300</v>
      </c>
      <c r="Z140" s="265" t="s">
        <v>152</v>
      </c>
      <c r="AA140" s="265" t="s">
        <v>153</v>
      </c>
      <c r="AB140" s="265"/>
      <c r="AC140" s="304" t="s">
        <v>1562</v>
      </c>
      <c r="AD140" s="285">
        <v>44658</v>
      </c>
      <c r="AE140" s="285"/>
      <c r="AF140" s="305" t="str">
        <f>+IF(AD140="","",TEXT(AD140,"mmm"))</f>
        <v>abr</v>
      </c>
      <c r="AG140" s="306">
        <f t="shared" si="41"/>
        <v>63</v>
      </c>
      <c r="AH140" s="307">
        <f t="shared" si="42"/>
        <v>63</v>
      </c>
      <c r="AI140" s="265"/>
      <c r="AJ140" s="265" t="s">
        <v>155</v>
      </c>
      <c r="AK140" s="265"/>
      <c r="AL140" s="265"/>
      <c r="AM140" s="265"/>
      <c r="AN140" s="309"/>
      <c r="AO140" s="269"/>
      <c r="AP140" s="265"/>
      <c r="AQ140" s="309">
        <f>+K140-AN140</f>
        <v>200500000</v>
      </c>
      <c r="AR140" s="289"/>
      <c r="AS140" s="269"/>
      <c r="AT140" s="265"/>
      <c r="AU140" s="260"/>
      <c r="AV140" s="260"/>
      <c r="AW140" s="200"/>
      <c r="AX140" s="200"/>
      <c r="AY140" s="200"/>
      <c r="AZ140" s="139">
        <f t="shared" si="36"/>
        <v>1</v>
      </c>
      <c r="BA140" s="200"/>
      <c r="BB140" s="200"/>
      <c r="BC140" s="3"/>
      <c r="BD140" s="95"/>
      <c r="BE140" s="2"/>
    </row>
    <row r="141" spans="2:58" ht="43.9" customHeight="1" x14ac:dyDescent="0.25">
      <c r="B141" s="100">
        <f t="shared" si="35"/>
        <v>123</v>
      </c>
      <c r="C141" s="293" t="s">
        <v>1198</v>
      </c>
      <c r="D141" s="265" t="s">
        <v>28</v>
      </c>
      <c r="E141" s="272">
        <v>44595</v>
      </c>
      <c r="F141" s="268" t="s">
        <v>4432</v>
      </c>
      <c r="G141" s="269" t="s">
        <v>1199</v>
      </c>
      <c r="H141" s="265" t="s">
        <v>1200</v>
      </c>
      <c r="I141" s="265" t="s">
        <v>146</v>
      </c>
      <c r="J141" s="269" t="s">
        <v>1201</v>
      </c>
      <c r="K141" s="342">
        <v>304203270</v>
      </c>
      <c r="L141" s="282"/>
      <c r="M141" s="265" t="s">
        <v>1303</v>
      </c>
      <c r="N141" s="302" t="str">
        <f>MID(M141,5,3)</f>
        <v>IPU</v>
      </c>
      <c r="O141" s="265">
        <v>202201930</v>
      </c>
      <c r="P141" s="271"/>
      <c r="Q141" s="265" t="s">
        <v>146</v>
      </c>
      <c r="R141" s="265" t="s">
        <v>146</v>
      </c>
      <c r="S141" s="265" t="s">
        <v>1561</v>
      </c>
      <c r="T141" s="111" t="s">
        <v>40</v>
      </c>
      <c r="U141" s="269" t="s">
        <v>452</v>
      </c>
      <c r="V141" s="284">
        <v>44595</v>
      </c>
      <c r="W141" s="303" t="e">
        <f>+$D$4-E141</f>
        <v>#VALUE!</v>
      </c>
      <c r="X141" s="303" t="e">
        <f>$D$4-V141</f>
        <v>#VALUE!</v>
      </c>
      <c r="Y141" s="265" t="s">
        <v>1300</v>
      </c>
      <c r="Z141" s="265" t="s">
        <v>152</v>
      </c>
      <c r="AA141" s="265" t="s">
        <v>153</v>
      </c>
      <c r="AB141" s="265"/>
      <c r="AC141" s="304" t="s">
        <v>1302</v>
      </c>
      <c r="AD141" s="265"/>
      <c r="AE141" s="265"/>
      <c r="AF141" s="305" t="str">
        <f>+IF(AD141="","",TEXT(AD141,"mmm"))</f>
        <v/>
      </c>
      <c r="AG141" s="306">
        <f t="shared" si="41"/>
        <v>-44595</v>
      </c>
      <c r="AH141" s="307">
        <f t="shared" si="42"/>
        <v>-44595</v>
      </c>
      <c r="AI141" s="265"/>
      <c r="AJ141" s="265" t="s">
        <v>171</v>
      </c>
      <c r="AK141" s="265"/>
      <c r="AL141" s="265"/>
      <c r="AM141" s="265"/>
      <c r="AN141" s="309"/>
      <c r="AO141" s="269"/>
      <c r="AP141" s="265"/>
      <c r="AQ141" s="309">
        <f>+K141-AN141</f>
        <v>304203270</v>
      </c>
      <c r="AR141" s="289"/>
      <c r="AS141" s="269"/>
      <c r="AT141" s="265"/>
      <c r="AU141" s="260"/>
      <c r="AV141" s="260"/>
      <c r="AW141" s="200"/>
      <c r="AX141" s="200"/>
      <c r="AY141" s="200"/>
      <c r="AZ141" s="139">
        <f t="shared" si="36"/>
        <v>1</v>
      </c>
      <c r="BA141" s="200"/>
      <c r="BB141" s="200"/>
      <c r="BC141" s="3"/>
      <c r="BD141" s="218"/>
      <c r="BE141" s="338"/>
    </row>
    <row r="142" spans="2:58" ht="43.9" customHeight="1" x14ac:dyDescent="0.25">
      <c r="B142" s="100">
        <f t="shared" si="35"/>
        <v>124</v>
      </c>
      <c r="C142" s="110" t="s">
        <v>1202</v>
      </c>
      <c r="D142" s="99" t="s">
        <v>28</v>
      </c>
      <c r="E142" s="140">
        <v>44595</v>
      </c>
      <c r="F142" s="268" t="s">
        <v>4432</v>
      </c>
      <c r="G142" s="96" t="s">
        <v>1203</v>
      </c>
      <c r="H142" s="96" t="s">
        <v>1204</v>
      </c>
      <c r="I142" s="96" t="s">
        <v>636</v>
      </c>
      <c r="J142" s="133" t="s">
        <v>1205</v>
      </c>
      <c r="K142" s="341">
        <v>472775520</v>
      </c>
      <c r="L142" s="96" t="s">
        <v>1206</v>
      </c>
      <c r="M142" s="99" t="s">
        <v>146</v>
      </c>
      <c r="N142" s="99"/>
      <c r="O142" s="99">
        <v>202201853</v>
      </c>
      <c r="P142" s="165"/>
      <c r="Q142" s="96" t="s">
        <v>146</v>
      </c>
      <c r="R142" s="96" t="s">
        <v>146</v>
      </c>
      <c r="S142" s="96"/>
      <c r="T142" s="96" t="s">
        <v>230</v>
      </c>
      <c r="U142" s="96" t="s">
        <v>29</v>
      </c>
      <c r="V142" s="140">
        <v>44595</v>
      </c>
      <c r="W142" s="166"/>
      <c r="X142" s="166"/>
      <c r="Y142" s="99"/>
      <c r="Z142" s="96" t="s">
        <v>168</v>
      </c>
      <c r="AA142" s="96" t="s">
        <v>169</v>
      </c>
      <c r="AB142" s="99"/>
      <c r="AC142" s="99"/>
      <c r="AD142" s="97">
        <v>44616</v>
      </c>
      <c r="AE142" s="362" t="s">
        <v>4432</v>
      </c>
      <c r="AF142" s="98"/>
      <c r="AG142" s="166">
        <f t="shared" si="41"/>
        <v>21</v>
      </c>
      <c r="AH142" s="166">
        <f t="shared" si="42"/>
        <v>21</v>
      </c>
      <c r="AI142" s="99" t="s">
        <v>146</v>
      </c>
      <c r="AJ142" s="96" t="s">
        <v>171</v>
      </c>
      <c r="AK142" s="96" t="s">
        <v>1207</v>
      </c>
      <c r="AL142" s="97">
        <v>44602</v>
      </c>
      <c r="AM142" s="214">
        <v>472353399</v>
      </c>
      <c r="AN142" s="96" t="s">
        <v>1208</v>
      </c>
      <c r="AO142" s="96"/>
      <c r="AP142" s="181">
        <f t="shared" ref="AP142:AP147" si="46">+K142-AM142</f>
        <v>422121</v>
      </c>
      <c r="AQ142" s="138"/>
      <c r="AR142" s="138"/>
      <c r="AS142" s="99" t="s">
        <v>146</v>
      </c>
      <c r="AT142" s="99" t="s">
        <v>146</v>
      </c>
      <c r="AU142" s="138"/>
      <c r="AV142" s="99" t="s">
        <v>1001</v>
      </c>
      <c r="AW142" s="99" t="s">
        <v>1002</v>
      </c>
      <c r="AX142" s="99"/>
      <c r="AY142" s="167">
        <f t="shared" ref="AY142:AY147" si="47">+AP142/K142</f>
        <v>8.9285714285714283E-4</v>
      </c>
      <c r="AZ142" s="139">
        <f t="shared" si="36"/>
        <v>1</v>
      </c>
      <c r="BA142" s="139">
        <f t="shared" ref="BA142:BA147" si="48">IF(T142="Invitación Privada",1,IF(T142="Invitación Pública",2,0))</f>
        <v>0</v>
      </c>
      <c r="BB142" s="132">
        <f>IF(AA142="CONTRATADO",IF(BA142=1,NETWORKDAYS.INTL(E142,AD142,1,[1]FESTIVOS!$B$3:$B$10)-1,AD142-E142))-BD142</f>
        <v>21</v>
      </c>
      <c r="BC142" s="157"/>
      <c r="BD142" s="96">
        <v>0</v>
      </c>
      <c r="BE142" s="386" t="s">
        <v>2052</v>
      </c>
    </row>
    <row r="143" spans="2:58" ht="43.9" customHeight="1" x14ac:dyDescent="0.25">
      <c r="B143" s="100">
        <f t="shared" si="35"/>
        <v>125</v>
      </c>
      <c r="C143" s="110" t="s">
        <v>1771</v>
      </c>
      <c r="D143" s="99" t="s">
        <v>28</v>
      </c>
      <c r="E143" s="140">
        <v>44595</v>
      </c>
      <c r="F143" s="268" t="s">
        <v>4432</v>
      </c>
      <c r="G143" s="96" t="s">
        <v>1772</v>
      </c>
      <c r="H143" s="99" t="s">
        <v>1773</v>
      </c>
      <c r="I143" s="96" t="s">
        <v>1209</v>
      </c>
      <c r="J143" s="133" t="s">
        <v>1774</v>
      </c>
      <c r="K143" s="348">
        <v>751936899</v>
      </c>
      <c r="L143" s="96" t="s">
        <v>658</v>
      </c>
      <c r="M143" s="99" t="s">
        <v>146</v>
      </c>
      <c r="N143" s="99"/>
      <c r="O143" s="99">
        <v>202201854</v>
      </c>
      <c r="P143" s="173">
        <v>925579167</v>
      </c>
      <c r="Q143" s="96" t="s">
        <v>146</v>
      </c>
      <c r="R143" s="96" t="s">
        <v>146</v>
      </c>
      <c r="S143" s="111" t="s">
        <v>146</v>
      </c>
      <c r="T143" s="96" t="s">
        <v>230</v>
      </c>
      <c r="U143" s="96" t="s">
        <v>29</v>
      </c>
      <c r="V143" s="140">
        <v>44595</v>
      </c>
      <c r="W143" s="166" t="e">
        <f>+#REF!-E143</f>
        <v>#REF!</v>
      </c>
      <c r="X143" s="166" t="e">
        <f>#REF!-V143</f>
        <v>#REF!</v>
      </c>
      <c r="Y143" s="99" t="s">
        <v>1317</v>
      </c>
      <c r="Z143" s="96" t="s">
        <v>168</v>
      </c>
      <c r="AA143" s="96" t="s">
        <v>169</v>
      </c>
      <c r="AB143" s="96" t="s">
        <v>1775</v>
      </c>
      <c r="AC143" s="96"/>
      <c r="AD143" s="97">
        <v>44679</v>
      </c>
      <c r="AE143" s="362" t="s">
        <v>4435</v>
      </c>
      <c r="AF143" s="98"/>
      <c r="AG143" s="166">
        <f t="shared" si="41"/>
        <v>84</v>
      </c>
      <c r="AH143" s="166">
        <f t="shared" si="42"/>
        <v>84</v>
      </c>
      <c r="AI143" s="99" t="s">
        <v>146</v>
      </c>
      <c r="AJ143" s="96" t="s">
        <v>171</v>
      </c>
      <c r="AK143" s="96" t="s">
        <v>1776</v>
      </c>
      <c r="AL143" s="97">
        <v>44671</v>
      </c>
      <c r="AM143" s="211">
        <v>748177472</v>
      </c>
      <c r="AN143" s="96" t="s">
        <v>1777</v>
      </c>
      <c r="AO143" s="96"/>
      <c r="AP143" s="181">
        <f t="shared" si="46"/>
        <v>3759427</v>
      </c>
      <c r="AQ143" s="138"/>
      <c r="AR143" s="138"/>
      <c r="AS143" s="99" t="s">
        <v>146</v>
      </c>
      <c r="AT143" s="99" t="s">
        <v>146</v>
      </c>
      <c r="AU143" s="138"/>
      <c r="AV143" s="99" t="s">
        <v>1778</v>
      </c>
      <c r="AW143" s="99" t="s">
        <v>692</v>
      </c>
      <c r="AX143" s="99"/>
      <c r="AY143" s="167">
        <f t="shared" si="47"/>
        <v>4.9996575577015276E-3</v>
      </c>
      <c r="AZ143" s="139">
        <f t="shared" si="36"/>
        <v>1</v>
      </c>
      <c r="BA143" s="139">
        <f t="shared" si="48"/>
        <v>0</v>
      </c>
      <c r="BB143" s="132">
        <f>IF(AA143="CONTRATADO",IF(BA143=1,NETWORKDAYS.INTL(E143,AD143,1,[1]FESTIVOS!$B$3:$B$10)-1,AD143-E143))-BD143</f>
        <v>84</v>
      </c>
      <c r="BC143" s="160"/>
      <c r="BD143" s="162">
        <v>0</v>
      </c>
      <c r="BE143" s="382" t="s">
        <v>2052</v>
      </c>
    </row>
    <row r="144" spans="2:58" ht="43.9" customHeight="1" x14ac:dyDescent="0.25">
      <c r="B144" s="100">
        <f t="shared" si="35"/>
        <v>126</v>
      </c>
      <c r="C144" s="110" t="s">
        <v>1210</v>
      </c>
      <c r="D144" s="99" t="s">
        <v>28</v>
      </c>
      <c r="E144" s="140">
        <v>44595</v>
      </c>
      <c r="F144" s="268" t="s">
        <v>4432</v>
      </c>
      <c r="G144" s="96" t="s">
        <v>1211</v>
      </c>
      <c r="H144" s="99" t="s">
        <v>1212</v>
      </c>
      <c r="I144" s="96" t="s">
        <v>1209</v>
      </c>
      <c r="J144" s="133" t="s">
        <v>1213</v>
      </c>
      <c r="K144" s="348">
        <v>29768016</v>
      </c>
      <c r="L144" s="146"/>
      <c r="M144" s="99" t="s">
        <v>146</v>
      </c>
      <c r="N144" s="99"/>
      <c r="O144" s="99">
        <v>202201855</v>
      </c>
      <c r="P144" s="173"/>
      <c r="Q144" s="96" t="s">
        <v>146</v>
      </c>
      <c r="R144" s="96" t="s">
        <v>146</v>
      </c>
      <c r="S144" s="111" t="s">
        <v>146</v>
      </c>
      <c r="T144" s="96" t="s">
        <v>230</v>
      </c>
      <c r="U144" s="96" t="s">
        <v>29</v>
      </c>
      <c r="V144" s="140">
        <v>44595</v>
      </c>
      <c r="W144" s="166" t="e">
        <f>+#REF!-E144</f>
        <v>#REF!</v>
      </c>
      <c r="X144" s="166" t="e">
        <f>#REF!-V144</f>
        <v>#REF!</v>
      </c>
      <c r="Y144" s="99" t="s">
        <v>1317</v>
      </c>
      <c r="Z144" s="96" t="s">
        <v>168</v>
      </c>
      <c r="AA144" s="96" t="s">
        <v>169</v>
      </c>
      <c r="AB144" s="96" t="s">
        <v>1579</v>
      </c>
      <c r="AC144" s="96"/>
      <c r="AD144" s="97">
        <v>44679</v>
      </c>
      <c r="AE144" s="362" t="s">
        <v>4435</v>
      </c>
      <c r="AF144" s="98"/>
      <c r="AG144" s="166">
        <f t="shared" si="41"/>
        <v>84</v>
      </c>
      <c r="AH144" s="166">
        <f t="shared" si="42"/>
        <v>84</v>
      </c>
      <c r="AI144" s="99" t="s">
        <v>146</v>
      </c>
      <c r="AJ144" s="96" t="s">
        <v>171</v>
      </c>
      <c r="AK144" s="96" t="s">
        <v>1776</v>
      </c>
      <c r="AL144" s="97">
        <v>44671</v>
      </c>
      <c r="AM144" s="211">
        <v>29620147</v>
      </c>
      <c r="AN144" s="96" t="s">
        <v>1777</v>
      </c>
      <c r="AO144" s="99"/>
      <c r="AP144" s="181">
        <f t="shared" si="46"/>
        <v>147869</v>
      </c>
      <c r="AQ144" s="138"/>
      <c r="AR144" s="138"/>
      <c r="AS144" s="99"/>
      <c r="AT144" s="99"/>
      <c r="AU144" s="138"/>
      <c r="AV144" s="99"/>
      <c r="AW144" s="99"/>
      <c r="AX144" s="99"/>
      <c r="AY144" s="167">
        <f t="shared" si="47"/>
        <v>4.9673784104389083E-3</v>
      </c>
      <c r="AZ144" s="139">
        <f t="shared" si="36"/>
        <v>1</v>
      </c>
      <c r="BA144" s="139">
        <f t="shared" si="48"/>
        <v>0</v>
      </c>
      <c r="BB144" s="132">
        <f>IF(AA144="CONTRATADO",IF(BA144=1,NETWORKDAYS.INTL(E144,AD144,1,[1]FESTIVOS!$B$3:$B$10)-1,AD144-E144))-BD144</f>
        <v>84</v>
      </c>
      <c r="BC144" s="160"/>
      <c r="BD144" s="162">
        <v>0</v>
      </c>
      <c r="BE144" s="382" t="s">
        <v>2052</v>
      </c>
    </row>
    <row r="145" spans="2:58" ht="43.9" customHeight="1" x14ac:dyDescent="0.25">
      <c r="B145" s="100">
        <f t="shared" si="35"/>
        <v>127</v>
      </c>
      <c r="C145" s="110" t="s">
        <v>1214</v>
      </c>
      <c r="D145" s="99" t="s">
        <v>28</v>
      </c>
      <c r="E145" s="140">
        <v>44595</v>
      </c>
      <c r="F145" s="268" t="s">
        <v>4432</v>
      </c>
      <c r="G145" s="96" t="s">
        <v>1215</v>
      </c>
      <c r="H145" s="96" t="s">
        <v>1216</v>
      </c>
      <c r="I145" s="96" t="s">
        <v>1217</v>
      </c>
      <c r="J145" s="133" t="s">
        <v>1218</v>
      </c>
      <c r="K145" s="341">
        <v>11099852</v>
      </c>
      <c r="L145" s="96" t="s">
        <v>1206</v>
      </c>
      <c r="M145" s="99" t="s">
        <v>146</v>
      </c>
      <c r="N145" s="99"/>
      <c r="O145" s="99">
        <v>202201856</v>
      </c>
      <c r="P145" s="165"/>
      <c r="Q145" s="96" t="s">
        <v>146</v>
      </c>
      <c r="R145" s="96" t="s">
        <v>146</v>
      </c>
      <c r="S145" s="96"/>
      <c r="T145" s="96" t="s">
        <v>230</v>
      </c>
      <c r="U145" s="96" t="s">
        <v>29</v>
      </c>
      <c r="V145" s="140">
        <v>44595</v>
      </c>
      <c r="W145" s="166"/>
      <c r="X145" s="166"/>
      <c r="Y145" s="99"/>
      <c r="Z145" s="96" t="s">
        <v>168</v>
      </c>
      <c r="AA145" s="96" t="s">
        <v>169</v>
      </c>
      <c r="AB145" s="99"/>
      <c r="AC145" s="99"/>
      <c r="AD145" s="97">
        <v>44620</v>
      </c>
      <c r="AE145" s="362" t="s">
        <v>4432</v>
      </c>
      <c r="AF145" s="98"/>
      <c r="AG145" s="166">
        <f t="shared" si="41"/>
        <v>25</v>
      </c>
      <c r="AH145" s="166">
        <f t="shared" si="42"/>
        <v>25</v>
      </c>
      <c r="AI145" s="99" t="s">
        <v>146</v>
      </c>
      <c r="AJ145" s="96" t="s">
        <v>171</v>
      </c>
      <c r="AK145" s="96" t="s">
        <v>1219</v>
      </c>
      <c r="AL145" s="97">
        <v>44609</v>
      </c>
      <c r="AM145" s="214">
        <v>11043096</v>
      </c>
      <c r="AN145" s="96" t="s">
        <v>1220</v>
      </c>
      <c r="AO145" s="96"/>
      <c r="AP145" s="181">
        <f t="shared" si="46"/>
        <v>56756</v>
      </c>
      <c r="AQ145" s="138"/>
      <c r="AR145" s="138"/>
      <c r="AS145" s="99" t="s">
        <v>146</v>
      </c>
      <c r="AT145" s="99" t="s">
        <v>146</v>
      </c>
      <c r="AU145" s="138"/>
      <c r="AV145" s="99" t="s">
        <v>1000</v>
      </c>
      <c r="AW145" s="99" t="s">
        <v>692</v>
      </c>
      <c r="AX145" s="99"/>
      <c r="AY145" s="167">
        <f t="shared" si="47"/>
        <v>5.1132213294375461E-3</v>
      </c>
      <c r="AZ145" s="139">
        <f t="shared" si="36"/>
        <v>1</v>
      </c>
      <c r="BA145" s="139">
        <f t="shared" si="48"/>
        <v>0</v>
      </c>
      <c r="BB145" s="132">
        <f>IF(AA145="CONTRATADO",IF(BA145=1,NETWORKDAYS.INTL(E145,AD145,1,[1]FESTIVOS!$B$3:$B$10)-1,AD145-E145))-BD145</f>
        <v>25</v>
      </c>
      <c r="BC145" s="157"/>
      <c r="BD145" s="357">
        <v>0</v>
      </c>
      <c r="BE145" s="358" t="s">
        <v>2052</v>
      </c>
      <c r="BF145" s="160"/>
    </row>
    <row r="146" spans="2:58" ht="43.9" customHeight="1" x14ac:dyDescent="0.25">
      <c r="B146" s="100">
        <f t="shared" si="35"/>
        <v>128</v>
      </c>
      <c r="C146" s="110" t="s">
        <v>1221</v>
      </c>
      <c r="D146" s="99" t="s">
        <v>28</v>
      </c>
      <c r="E146" s="142">
        <v>44599</v>
      </c>
      <c r="F146" s="268" t="s">
        <v>4432</v>
      </c>
      <c r="G146" s="96" t="s">
        <v>1222</v>
      </c>
      <c r="H146" s="99" t="s">
        <v>1223</v>
      </c>
      <c r="I146" s="96" t="s">
        <v>1224</v>
      </c>
      <c r="J146" s="133" t="s">
        <v>1225</v>
      </c>
      <c r="K146" s="341">
        <v>43271668</v>
      </c>
      <c r="L146" s="96" t="s">
        <v>1105</v>
      </c>
      <c r="M146" s="99" t="s">
        <v>146</v>
      </c>
      <c r="N146" s="99"/>
      <c r="O146" s="99">
        <v>202201929</v>
      </c>
      <c r="P146" s="169"/>
      <c r="Q146" s="96" t="s">
        <v>146</v>
      </c>
      <c r="R146" s="96" t="s">
        <v>146</v>
      </c>
      <c r="S146" s="111" t="s">
        <v>146</v>
      </c>
      <c r="T146" s="96" t="s">
        <v>230</v>
      </c>
      <c r="U146" s="96" t="s">
        <v>29</v>
      </c>
      <c r="V146" s="142">
        <v>44599</v>
      </c>
      <c r="W146" s="170">
        <f>+$D$2-E146</f>
        <v>-44599</v>
      </c>
      <c r="X146" s="170">
        <f>$D$2-V146</f>
        <v>-44599</v>
      </c>
      <c r="Y146" s="99" t="s">
        <v>1317</v>
      </c>
      <c r="Z146" s="96" t="s">
        <v>168</v>
      </c>
      <c r="AA146" s="96" t="s">
        <v>169</v>
      </c>
      <c r="AB146" s="96" t="s">
        <v>2322</v>
      </c>
      <c r="AC146" s="96"/>
      <c r="AD146" s="119">
        <v>44718</v>
      </c>
      <c r="AE146" s="183" t="s">
        <v>4436</v>
      </c>
      <c r="AF146" s="171"/>
      <c r="AG146" s="170">
        <f t="shared" si="41"/>
        <v>119</v>
      </c>
      <c r="AH146" s="144">
        <f t="shared" si="42"/>
        <v>119</v>
      </c>
      <c r="AI146" s="99" t="s">
        <v>146</v>
      </c>
      <c r="AJ146" s="96" t="s">
        <v>171</v>
      </c>
      <c r="AK146" s="96" t="s">
        <v>2323</v>
      </c>
      <c r="AL146" s="119">
        <v>44704</v>
      </c>
      <c r="AM146" s="214">
        <v>42033077</v>
      </c>
      <c r="AN146" s="96" t="s">
        <v>2324</v>
      </c>
      <c r="AO146" s="99">
        <v>202205478</v>
      </c>
      <c r="AP146" s="181">
        <f t="shared" si="46"/>
        <v>1238591</v>
      </c>
      <c r="AQ146" s="138"/>
      <c r="AR146" s="138"/>
      <c r="AS146" s="99" t="s">
        <v>2325</v>
      </c>
      <c r="AT146" s="119">
        <v>44586</v>
      </c>
      <c r="AU146" s="138"/>
      <c r="AV146" s="99" t="s">
        <v>174</v>
      </c>
      <c r="AW146" s="99" t="s">
        <v>175</v>
      </c>
      <c r="AX146" s="96" t="s">
        <v>2378</v>
      </c>
      <c r="AY146" s="167">
        <f t="shared" si="47"/>
        <v>2.8623601937415494E-2</v>
      </c>
      <c r="AZ146" s="139">
        <f t="shared" si="36"/>
        <v>1</v>
      </c>
      <c r="BA146" s="139">
        <f t="shared" si="48"/>
        <v>0</v>
      </c>
      <c r="BB146" s="132">
        <f>IF(AA146="CONTRATADO",IF(BA146=1,NETWORKDAYS.INTL(E146,AD146,1,[1]FESTIVOS!$B$3:$B$10)-1,AD146-E146))-BD146</f>
        <v>119</v>
      </c>
      <c r="BC146" s="157"/>
      <c r="BD146" s="357"/>
      <c r="BE146" s="358"/>
    </row>
    <row r="147" spans="2:58" ht="43.9" customHeight="1" x14ac:dyDescent="0.25">
      <c r="B147" s="100">
        <f t="shared" si="35"/>
        <v>129</v>
      </c>
      <c r="C147" s="110" t="s">
        <v>1226</v>
      </c>
      <c r="D147" s="99" t="s">
        <v>28</v>
      </c>
      <c r="E147" s="140">
        <v>44599</v>
      </c>
      <c r="F147" s="268" t="s">
        <v>4432</v>
      </c>
      <c r="G147" s="96" t="s">
        <v>1227</v>
      </c>
      <c r="H147" s="99" t="s">
        <v>1228</v>
      </c>
      <c r="I147" s="96" t="s">
        <v>146</v>
      </c>
      <c r="J147" s="133" t="s">
        <v>1229</v>
      </c>
      <c r="K147" s="341">
        <v>769237672</v>
      </c>
      <c r="L147" s="96" t="s">
        <v>2326</v>
      </c>
      <c r="M147" s="99" t="s">
        <v>1330</v>
      </c>
      <c r="N147" s="99"/>
      <c r="O147" s="99">
        <v>202200918</v>
      </c>
      <c r="P147" s="173"/>
      <c r="Q147" s="96" t="s">
        <v>146</v>
      </c>
      <c r="R147" s="96" t="s">
        <v>146</v>
      </c>
      <c r="S147" s="96" t="s">
        <v>1560</v>
      </c>
      <c r="T147" s="111" t="s">
        <v>40</v>
      </c>
      <c r="U147" s="96" t="s">
        <v>187</v>
      </c>
      <c r="V147" s="97">
        <v>44610</v>
      </c>
      <c r="W147" s="166" t="e">
        <f>+#REF!-E147</f>
        <v>#REF!</v>
      </c>
      <c r="X147" s="166" t="e">
        <f>#REF!-V147</f>
        <v>#REF!</v>
      </c>
      <c r="Y147" s="99" t="s">
        <v>1317</v>
      </c>
      <c r="Z147" s="96" t="s">
        <v>168</v>
      </c>
      <c r="AA147" s="96" t="s">
        <v>169</v>
      </c>
      <c r="AB147" s="96" t="s">
        <v>2327</v>
      </c>
      <c r="AC147" s="96"/>
      <c r="AD147" s="97">
        <v>44725</v>
      </c>
      <c r="AE147" s="183" t="s">
        <v>4436</v>
      </c>
      <c r="AF147" s="98"/>
      <c r="AG147" s="166">
        <f t="shared" si="41"/>
        <v>126</v>
      </c>
      <c r="AH147" s="166">
        <f t="shared" si="42"/>
        <v>115</v>
      </c>
      <c r="AI147" s="99" t="s">
        <v>146</v>
      </c>
      <c r="AJ147" s="96" t="s">
        <v>171</v>
      </c>
      <c r="AK147" s="99" t="s">
        <v>2328</v>
      </c>
      <c r="AL147" s="97">
        <v>44699</v>
      </c>
      <c r="AM147" s="211">
        <v>737800000</v>
      </c>
      <c r="AN147" s="96" t="s">
        <v>2329</v>
      </c>
      <c r="AO147" s="99">
        <v>202205488</v>
      </c>
      <c r="AP147" s="181">
        <f t="shared" si="46"/>
        <v>31437672</v>
      </c>
      <c r="AQ147" s="138"/>
      <c r="AR147" s="138"/>
      <c r="AS147" s="99"/>
      <c r="AT147" s="99"/>
      <c r="AU147" s="138"/>
      <c r="AV147" s="99" t="s">
        <v>1000</v>
      </c>
      <c r="AW147" s="99" t="s">
        <v>692</v>
      </c>
      <c r="AX147" s="99"/>
      <c r="AY147" s="167">
        <f t="shared" si="47"/>
        <v>4.0868606861469467E-2</v>
      </c>
      <c r="AZ147" s="139">
        <f t="shared" si="36"/>
        <v>1</v>
      </c>
      <c r="BA147" s="139">
        <f t="shared" si="48"/>
        <v>2</v>
      </c>
      <c r="BB147" s="132">
        <f>IF(AA147="CONTRATADO",IF(BA147=1,NETWORKDAYS.INTL(E147,AD147,1,[1]FESTIVOS!$B$3:$B$10)-1,AD147-E147))-BD147</f>
        <v>111</v>
      </c>
      <c r="BC147" s="156"/>
      <c r="BD147" s="162">
        <v>15</v>
      </c>
      <c r="BE147" s="389" t="s">
        <v>2374</v>
      </c>
      <c r="BF147" s="76"/>
    </row>
    <row r="148" spans="2:58" ht="43.9" customHeight="1" x14ac:dyDescent="0.25">
      <c r="B148" s="100">
        <f t="shared" ref="B148:B211" si="49">+B147+1</f>
        <v>130</v>
      </c>
      <c r="C148" s="293" t="s">
        <v>1230</v>
      </c>
      <c r="D148" s="265" t="s">
        <v>28</v>
      </c>
      <c r="E148" s="272">
        <v>44602</v>
      </c>
      <c r="F148" s="268" t="s">
        <v>4432</v>
      </c>
      <c r="G148" s="269" t="s">
        <v>1231</v>
      </c>
      <c r="H148" s="265" t="s">
        <v>1232</v>
      </c>
      <c r="I148" s="265" t="s">
        <v>146</v>
      </c>
      <c r="J148" s="269" t="s">
        <v>1233</v>
      </c>
      <c r="K148" s="342">
        <v>29720250</v>
      </c>
      <c r="L148" s="282"/>
      <c r="M148" s="265" t="s">
        <v>1304</v>
      </c>
      <c r="N148" s="302" t="str">
        <f>MID(M148,5,3)</f>
        <v>IPU</v>
      </c>
      <c r="O148" s="265">
        <v>202200893</v>
      </c>
      <c r="P148" s="271"/>
      <c r="Q148" s="265" t="s">
        <v>146</v>
      </c>
      <c r="R148" s="265" t="s">
        <v>146</v>
      </c>
      <c r="S148" s="265" t="s">
        <v>1561</v>
      </c>
      <c r="T148" s="111" t="s">
        <v>40</v>
      </c>
      <c r="U148" s="269" t="s">
        <v>312</v>
      </c>
      <c r="V148" s="284">
        <v>44602</v>
      </c>
      <c r="W148" s="303" t="e">
        <f>+$D$4-E148</f>
        <v>#VALUE!</v>
      </c>
      <c r="X148" s="303" t="e">
        <f>$D$4-V148</f>
        <v>#VALUE!</v>
      </c>
      <c r="Y148" s="265" t="s">
        <v>1300</v>
      </c>
      <c r="Z148" s="265" t="s">
        <v>152</v>
      </c>
      <c r="AA148" s="265" t="s">
        <v>153</v>
      </c>
      <c r="AB148" s="265"/>
      <c r="AC148" s="304" t="s">
        <v>1305</v>
      </c>
      <c r="AD148" s="285">
        <v>44651</v>
      </c>
      <c r="AE148" s="285"/>
      <c r="AF148" s="305" t="str">
        <f>+IF(AD148="","",TEXT(AD148,"mmm"))</f>
        <v>mar</v>
      </c>
      <c r="AG148" s="306">
        <f t="shared" si="41"/>
        <v>49</v>
      </c>
      <c r="AH148" s="307">
        <f t="shared" si="42"/>
        <v>49</v>
      </c>
      <c r="AI148" s="265"/>
      <c r="AJ148" s="265" t="s">
        <v>171</v>
      </c>
      <c r="AK148" s="265"/>
      <c r="AL148" s="265"/>
      <c r="AM148" s="265"/>
      <c r="AN148" s="309"/>
      <c r="AO148" s="269"/>
      <c r="AP148" s="265"/>
      <c r="AQ148" s="309">
        <f>+K148-AN148</f>
        <v>29720250</v>
      </c>
      <c r="AR148" s="289"/>
      <c r="AS148" s="269"/>
      <c r="AT148" s="265"/>
      <c r="AU148" s="260"/>
      <c r="AV148" s="260"/>
      <c r="AW148" s="200"/>
      <c r="AX148" s="200"/>
      <c r="AY148" s="200"/>
      <c r="AZ148" s="139">
        <f t="shared" si="36"/>
        <v>1</v>
      </c>
      <c r="BA148" s="200"/>
      <c r="BB148" s="200"/>
      <c r="BC148" s="3"/>
      <c r="BD148" s="95"/>
      <c r="BE148" s="2"/>
    </row>
    <row r="149" spans="2:58" ht="43.9" customHeight="1" x14ac:dyDescent="0.25">
      <c r="B149" s="100">
        <f t="shared" si="49"/>
        <v>131</v>
      </c>
      <c r="C149" s="110" t="s">
        <v>1234</v>
      </c>
      <c r="D149" s="99" t="s">
        <v>33</v>
      </c>
      <c r="E149" s="140">
        <v>44606</v>
      </c>
      <c r="F149" s="268" t="s">
        <v>4432</v>
      </c>
      <c r="G149" s="96" t="s">
        <v>1235</v>
      </c>
      <c r="H149" s="99" t="s">
        <v>1236</v>
      </c>
      <c r="I149" s="96" t="s">
        <v>226</v>
      </c>
      <c r="J149" s="133" t="s">
        <v>1237</v>
      </c>
      <c r="K149" s="341">
        <v>1363682642</v>
      </c>
      <c r="L149" s="96" t="s">
        <v>283</v>
      </c>
      <c r="M149" s="99" t="s">
        <v>146</v>
      </c>
      <c r="N149" s="99"/>
      <c r="O149" s="99">
        <v>202202435</v>
      </c>
      <c r="P149" s="173"/>
      <c r="Q149" s="96" t="s">
        <v>146</v>
      </c>
      <c r="R149" s="96" t="s">
        <v>146</v>
      </c>
      <c r="S149" s="96"/>
      <c r="T149" s="96" t="s">
        <v>230</v>
      </c>
      <c r="U149" s="96" t="s">
        <v>35</v>
      </c>
      <c r="V149" s="140">
        <v>44606</v>
      </c>
      <c r="W149" s="166" t="e">
        <f>+#REF!-E149</f>
        <v>#REF!</v>
      </c>
      <c r="X149" s="166" t="e">
        <f>#REF!-V149</f>
        <v>#REF!</v>
      </c>
      <c r="Y149" s="99" t="s">
        <v>1317</v>
      </c>
      <c r="Z149" s="96" t="s">
        <v>168</v>
      </c>
      <c r="AA149" s="96" t="s">
        <v>169</v>
      </c>
      <c r="AB149" s="96" t="s">
        <v>1766</v>
      </c>
      <c r="AC149" s="96"/>
      <c r="AD149" s="97">
        <v>44651</v>
      </c>
      <c r="AE149" s="362" t="s">
        <v>4433</v>
      </c>
      <c r="AF149" s="98"/>
      <c r="AG149" s="166">
        <f t="shared" si="41"/>
        <v>45</v>
      </c>
      <c r="AH149" s="166">
        <f t="shared" si="42"/>
        <v>45</v>
      </c>
      <c r="AI149" s="99" t="s">
        <v>146</v>
      </c>
      <c r="AJ149" s="96" t="s">
        <v>171</v>
      </c>
      <c r="AK149" s="96" t="s">
        <v>1556</v>
      </c>
      <c r="AL149" s="97">
        <v>44636</v>
      </c>
      <c r="AM149" s="214">
        <v>1273355871</v>
      </c>
      <c r="AN149" s="96" t="s">
        <v>1557</v>
      </c>
      <c r="AO149" s="96"/>
      <c r="AP149" s="181">
        <f t="shared" ref="AP149" si="50">+K149-AM149</f>
        <v>90326771</v>
      </c>
      <c r="AQ149" s="138"/>
      <c r="AR149" s="138"/>
      <c r="AS149" s="99" t="s">
        <v>146</v>
      </c>
      <c r="AT149" s="99" t="s">
        <v>146</v>
      </c>
      <c r="AU149" s="138"/>
      <c r="AV149" s="99" t="s">
        <v>1001</v>
      </c>
      <c r="AW149" s="99" t="s">
        <v>1002</v>
      </c>
      <c r="AX149" s="99"/>
      <c r="AY149" s="167">
        <f>+AP149/K149</f>
        <v>6.6237384137650401E-2</v>
      </c>
      <c r="AZ149" s="139">
        <f t="shared" si="36"/>
        <v>1</v>
      </c>
      <c r="BA149" s="139">
        <f>IF(T149="Invitación Privada",1,IF(T149="Invitación Pública",2,0))</f>
        <v>0</v>
      </c>
      <c r="BB149" s="132">
        <f>IF(AA149="CONTRATADO",IF(BA149=1,NETWORKDAYS.INTL(E149,AD149,1,[1]FESTIVOS!$B$3:$B$10)-1,AD149-E149))-BD149</f>
        <v>45</v>
      </c>
      <c r="BC149" s="157"/>
      <c r="BD149" s="162">
        <v>0</v>
      </c>
      <c r="BE149" s="162" t="s">
        <v>2372</v>
      </c>
    </row>
    <row r="150" spans="2:58" ht="43.9" customHeight="1" x14ac:dyDescent="0.25">
      <c r="B150" s="100">
        <f t="shared" si="49"/>
        <v>132</v>
      </c>
      <c r="C150" s="293" t="s">
        <v>1238</v>
      </c>
      <c r="D150" s="265" t="s">
        <v>359</v>
      </c>
      <c r="E150" s="272">
        <v>44607</v>
      </c>
      <c r="F150" s="268" t="s">
        <v>4432</v>
      </c>
      <c r="G150" s="269" t="s">
        <v>1239</v>
      </c>
      <c r="H150" s="265" t="s">
        <v>1240</v>
      </c>
      <c r="I150" s="265" t="s">
        <v>146</v>
      </c>
      <c r="J150" s="269" t="s">
        <v>1241</v>
      </c>
      <c r="K150" s="342">
        <v>1222350357</v>
      </c>
      <c r="L150" s="282"/>
      <c r="M150" s="265" t="s">
        <v>1306</v>
      </c>
      <c r="N150" s="302" t="str">
        <f>MID(M150,5,3)</f>
        <v>IPU</v>
      </c>
      <c r="O150" s="265">
        <v>202202134</v>
      </c>
      <c r="P150" s="271"/>
      <c r="Q150" s="265" t="s">
        <v>146</v>
      </c>
      <c r="R150" s="265" t="s">
        <v>146</v>
      </c>
      <c r="S150" s="265" t="s">
        <v>1560</v>
      </c>
      <c r="T150" s="111" t="s">
        <v>40</v>
      </c>
      <c r="U150" s="269" t="s">
        <v>206</v>
      </c>
      <c r="V150" s="284">
        <v>44607</v>
      </c>
      <c r="W150" s="303" t="e">
        <f>+$D$4-E150</f>
        <v>#VALUE!</v>
      </c>
      <c r="X150" s="303" t="e">
        <f>$D$4-V150</f>
        <v>#VALUE!</v>
      </c>
      <c r="Y150" s="265" t="s">
        <v>1300</v>
      </c>
      <c r="Z150" s="265" t="s">
        <v>152</v>
      </c>
      <c r="AA150" s="265" t="s">
        <v>153</v>
      </c>
      <c r="AB150" s="265"/>
      <c r="AC150" s="304"/>
      <c r="AD150" s="272">
        <v>44607</v>
      </c>
      <c r="AE150" s="265"/>
      <c r="AF150" s="305" t="str">
        <f>+IF(AD150="","",TEXT(AD150,"mmm"))</f>
        <v>feb</v>
      </c>
      <c r="AG150" s="306">
        <f t="shared" si="41"/>
        <v>0</v>
      </c>
      <c r="AH150" s="307">
        <f t="shared" si="42"/>
        <v>0</v>
      </c>
      <c r="AI150" s="265"/>
      <c r="AJ150" s="265" t="s">
        <v>171</v>
      </c>
      <c r="AK150" s="265"/>
      <c r="AL150" s="265"/>
      <c r="AM150" s="265"/>
      <c r="AN150" s="309"/>
      <c r="AO150" s="269"/>
      <c r="AP150" s="265"/>
      <c r="AQ150" s="309">
        <f>+K150-AN150</f>
        <v>1222350357</v>
      </c>
      <c r="AR150" s="289"/>
      <c r="AS150" s="269"/>
      <c r="AT150" s="265"/>
      <c r="AU150" s="260"/>
      <c r="AV150" s="260"/>
      <c r="AW150" s="200"/>
      <c r="AX150" s="200"/>
      <c r="AY150" s="200"/>
      <c r="AZ150" s="139">
        <f t="shared" ref="AZ150:AZ213" si="51">IF(D150="GUENAA",1,IF(D150="GUENE",1,IF(D150="GUENT",1,0)))</f>
        <v>0</v>
      </c>
      <c r="BA150" s="200"/>
      <c r="BB150" s="200"/>
      <c r="BC150" s="3"/>
      <c r="BD150" s="95"/>
      <c r="BE150" s="2"/>
    </row>
    <row r="151" spans="2:58" ht="43.9" customHeight="1" x14ac:dyDescent="0.25">
      <c r="B151" s="100">
        <f t="shared" si="49"/>
        <v>133</v>
      </c>
      <c r="C151" s="110" t="s">
        <v>1779</v>
      </c>
      <c r="D151" s="99" t="s">
        <v>359</v>
      </c>
      <c r="E151" s="140">
        <v>44607</v>
      </c>
      <c r="F151" s="268" t="s">
        <v>4432</v>
      </c>
      <c r="G151" s="96" t="s">
        <v>1780</v>
      </c>
      <c r="H151" s="99" t="s">
        <v>1781</v>
      </c>
      <c r="I151" s="96" t="s">
        <v>146</v>
      </c>
      <c r="J151" s="133" t="s">
        <v>1782</v>
      </c>
      <c r="K151" s="341">
        <v>1510200000</v>
      </c>
      <c r="L151" s="96" t="s">
        <v>1101</v>
      </c>
      <c r="M151" s="99" t="s">
        <v>1783</v>
      </c>
      <c r="N151" s="99"/>
      <c r="O151" s="99">
        <v>202202601</v>
      </c>
      <c r="P151" s="172">
        <v>1510200000</v>
      </c>
      <c r="Q151" s="96" t="s">
        <v>146</v>
      </c>
      <c r="R151" s="96" t="s">
        <v>146</v>
      </c>
      <c r="S151" s="96" t="s">
        <v>1560</v>
      </c>
      <c r="T151" s="111" t="s">
        <v>40</v>
      </c>
      <c r="U151" s="96" t="s">
        <v>206</v>
      </c>
      <c r="V151" s="140">
        <v>44607</v>
      </c>
      <c r="W151" s="166">
        <v>107</v>
      </c>
      <c r="X151" s="166">
        <v>107</v>
      </c>
      <c r="Y151" s="99" t="s">
        <v>1317</v>
      </c>
      <c r="Z151" s="96" t="s">
        <v>168</v>
      </c>
      <c r="AA151" s="96" t="s">
        <v>169</v>
      </c>
      <c r="AB151" s="96" t="s">
        <v>1784</v>
      </c>
      <c r="AC151" s="96"/>
      <c r="AD151" s="97">
        <v>44657</v>
      </c>
      <c r="AE151" s="362" t="s">
        <v>4435</v>
      </c>
      <c r="AF151" s="98"/>
      <c r="AG151" s="166">
        <v>50</v>
      </c>
      <c r="AH151" s="166">
        <v>50</v>
      </c>
      <c r="AI151" s="99" t="s">
        <v>146</v>
      </c>
      <c r="AJ151" s="96" t="s">
        <v>171</v>
      </c>
      <c r="AK151" s="99" t="s">
        <v>1785</v>
      </c>
      <c r="AL151" s="97">
        <v>44650</v>
      </c>
      <c r="AM151" s="211">
        <v>1510199964</v>
      </c>
      <c r="AN151" s="96" t="s">
        <v>1786</v>
      </c>
      <c r="AO151" s="96"/>
      <c r="AP151" s="181">
        <f t="shared" ref="AP151" si="52">+K151-AM151</f>
        <v>36</v>
      </c>
      <c r="AQ151" s="138"/>
      <c r="AR151" s="138"/>
      <c r="AS151" s="99" t="s">
        <v>146</v>
      </c>
      <c r="AT151" s="99" t="s">
        <v>146</v>
      </c>
      <c r="AU151" s="138"/>
      <c r="AV151" s="99" t="s">
        <v>174</v>
      </c>
      <c r="AW151" s="99" t="s">
        <v>175</v>
      </c>
      <c r="AX151" s="99"/>
      <c r="AY151" s="167">
        <f>+AP151/K151</f>
        <v>2.3837902264600715E-8</v>
      </c>
      <c r="AZ151" s="139">
        <f t="shared" si="51"/>
        <v>0</v>
      </c>
      <c r="BA151" s="139">
        <f>IF(T151="Invitación Privada",1,IF(T151="Invitación Pública",2,0))</f>
        <v>2</v>
      </c>
      <c r="BB151" s="132">
        <f>IF(AA151="CONTRATADO",IF(BA151=1,NETWORKDAYS.INTL(E151,AD151,1,[1]FESTIVOS!$B$3:$B$10)-1,AD151-E151))-BD151</f>
        <v>50</v>
      </c>
      <c r="BC151" s="160"/>
      <c r="BD151" s="162">
        <v>0</v>
      </c>
      <c r="BE151" s="382" t="s">
        <v>2052</v>
      </c>
      <c r="BF151" s="156"/>
    </row>
    <row r="152" spans="2:58" ht="43.9" customHeight="1" x14ac:dyDescent="0.25">
      <c r="B152" s="100">
        <f t="shared" si="49"/>
        <v>134</v>
      </c>
      <c r="C152" s="293" t="s">
        <v>1242</v>
      </c>
      <c r="D152" s="265" t="s">
        <v>28</v>
      </c>
      <c r="E152" s="272">
        <v>44608</v>
      </c>
      <c r="F152" s="268" t="s">
        <v>4432</v>
      </c>
      <c r="G152" s="269" t="s">
        <v>1243</v>
      </c>
      <c r="H152" s="265" t="s">
        <v>1244</v>
      </c>
      <c r="I152" s="265" t="s">
        <v>146</v>
      </c>
      <c r="J152" s="269" t="s">
        <v>1245</v>
      </c>
      <c r="K152" s="342">
        <v>9090372</v>
      </c>
      <c r="L152" s="282"/>
      <c r="M152" s="265" t="s">
        <v>146</v>
      </c>
      <c r="N152" s="302" t="str">
        <f>MID(M152,5,3)</f>
        <v/>
      </c>
      <c r="O152" s="265">
        <v>202200778</v>
      </c>
      <c r="P152" s="271"/>
      <c r="Q152" s="265" t="s">
        <v>146</v>
      </c>
      <c r="R152" s="265" t="s">
        <v>146</v>
      </c>
      <c r="S152" s="312" t="s">
        <v>146</v>
      </c>
      <c r="T152" s="280" t="str">
        <f>(IF(N152="IPU","INVITACION PUBLICA",(IF(N152="IP-","INVITACION PRIVADA"," "))))</f>
        <v xml:space="preserve"> </v>
      </c>
      <c r="U152" s="269" t="s">
        <v>29</v>
      </c>
      <c r="V152" s="284">
        <v>44608</v>
      </c>
      <c r="W152" s="303" t="e">
        <f>+$D$4-E152</f>
        <v>#VALUE!</v>
      </c>
      <c r="X152" s="303" t="e">
        <f>$D$4-V152</f>
        <v>#VALUE!</v>
      </c>
      <c r="Y152" s="265" t="s">
        <v>1300</v>
      </c>
      <c r="Z152" s="265" t="s">
        <v>214</v>
      </c>
      <c r="AA152" s="265" t="s">
        <v>215</v>
      </c>
      <c r="AB152" s="265"/>
      <c r="AC152" s="304"/>
      <c r="AD152" s="272">
        <v>44743</v>
      </c>
      <c r="AE152" s="272"/>
      <c r="AF152" s="305" t="str">
        <f>+IF(AD152="","",TEXT(AD152,"mmm"))</f>
        <v>jul</v>
      </c>
      <c r="AG152" s="306">
        <f>+AD152-E152</f>
        <v>135</v>
      </c>
      <c r="AH152" s="307">
        <f>+AD152-V152</f>
        <v>135</v>
      </c>
      <c r="AI152" s="265"/>
      <c r="AJ152" s="265" t="s">
        <v>171</v>
      </c>
      <c r="AK152" s="265"/>
      <c r="AL152" s="265"/>
      <c r="AM152" s="309"/>
      <c r="AN152" s="269"/>
      <c r="AO152" s="265"/>
      <c r="AP152" s="309">
        <f>+K152-AM152</f>
        <v>9090372</v>
      </c>
      <c r="AQ152" s="289"/>
      <c r="AR152" s="269"/>
      <c r="AS152" s="265"/>
      <c r="AT152" s="260"/>
      <c r="AU152" s="260"/>
      <c r="AV152" s="200"/>
      <c r="AW152" s="200"/>
      <c r="AX152" s="200"/>
      <c r="AY152" s="200"/>
      <c r="AZ152" s="139">
        <f t="shared" si="51"/>
        <v>1</v>
      </c>
      <c r="BA152" s="200"/>
      <c r="BB152" s="203"/>
      <c r="BC152" s="95"/>
      <c r="BD152" s="356"/>
      <c r="BE152" s="356"/>
      <c r="BF152" s="160"/>
    </row>
    <row r="153" spans="2:58" ht="43.9" customHeight="1" x14ac:dyDescent="0.25">
      <c r="B153" s="100">
        <f t="shared" si="49"/>
        <v>135</v>
      </c>
      <c r="C153" s="293" t="s">
        <v>1246</v>
      </c>
      <c r="D153" s="265" t="s">
        <v>28</v>
      </c>
      <c r="E153" s="272">
        <v>44608</v>
      </c>
      <c r="F153" s="268" t="s">
        <v>4432</v>
      </c>
      <c r="G153" s="269" t="s">
        <v>1247</v>
      </c>
      <c r="H153" s="265" t="s">
        <v>1248</v>
      </c>
      <c r="I153" s="265" t="s">
        <v>146</v>
      </c>
      <c r="J153" s="269" t="s">
        <v>1249</v>
      </c>
      <c r="K153" s="342">
        <v>4961235</v>
      </c>
      <c r="L153" s="282"/>
      <c r="M153" s="265" t="s">
        <v>1307</v>
      </c>
      <c r="N153" s="302" t="str">
        <f>MID(M153,5,3)</f>
        <v>IPU</v>
      </c>
      <c r="O153" s="265">
        <v>202200780</v>
      </c>
      <c r="P153" s="271"/>
      <c r="Q153" s="265" t="s">
        <v>146</v>
      </c>
      <c r="R153" s="265" t="s">
        <v>146</v>
      </c>
      <c r="S153" s="265" t="s">
        <v>1561</v>
      </c>
      <c r="T153" s="111" t="s">
        <v>40</v>
      </c>
      <c r="U153" s="269" t="s">
        <v>277</v>
      </c>
      <c r="V153" s="284">
        <v>44608</v>
      </c>
      <c r="W153" s="303" t="e">
        <f>+$D$4-E153</f>
        <v>#VALUE!</v>
      </c>
      <c r="X153" s="303" t="e">
        <f>$D$4-V153</f>
        <v>#VALUE!</v>
      </c>
      <c r="Y153" s="265" t="s">
        <v>1300</v>
      </c>
      <c r="Z153" s="265" t="s">
        <v>152</v>
      </c>
      <c r="AA153" s="265" t="s">
        <v>153</v>
      </c>
      <c r="AB153" s="265"/>
      <c r="AC153" s="304" t="s">
        <v>1308</v>
      </c>
      <c r="AD153" s="272">
        <v>44651</v>
      </c>
      <c r="AE153" s="265"/>
      <c r="AF153" s="305" t="str">
        <f>+IF(AD153="","",TEXT(AD153,"mmm"))</f>
        <v>mar</v>
      </c>
      <c r="AG153" s="306">
        <f>+AD153-E153</f>
        <v>43</v>
      </c>
      <c r="AH153" s="307">
        <f>+AD153-V153</f>
        <v>43</v>
      </c>
      <c r="AI153" s="265"/>
      <c r="AJ153" s="265" t="s">
        <v>171</v>
      </c>
      <c r="AK153" s="265"/>
      <c r="AL153" s="265"/>
      <c r="AM153" s="265"/>
      <c r="AN153" s="309"/>
      <c r="AO153" s="269"/>
      <c r="AP153" s="265"/>
      <c r="AQ153" s="309">
        <f>+K153-AN153</f>
        <v>4961235</v>
      </c>
      <c r="AR153" s="289"/>
      <c r="AS153" s="269"/>
      <c r="AT153" s="265"/>
      <c r="AU153" s="260"/>
      <c r="AV153" s="260"/>
      <c r="AW153" s="200"/>
      <c r="AX153" s="200"/>
      <c r="AY153" s="200"/>
      <c r="AZ153" s="139">
        <f t="shared" si="51"/>
        <v>1</v>
      </c>
      <c r="BA153" s="200"/>
      <c r="BB153" s="200"/>
      <c r="BC153" s="3"/>
      <c r="BD153" s="218"/>
      <c r="BE153" s="338"/>
      <c r="BF153" s="160"/>
    </row>
    <row r="154" spans="2:58" ht="43.9" customHeight="1" x14ac:dyDescent="0.25">
      <c r="B154" s="100">
        <f t="shared" si="49"/>
        <v>136</v>
      </c>
      <c r="C154" s="110" t="s">
        <v>1250</v>
      </c>
      <c r="D154" s="99" t="s">
        <v>28</v>
      </c>
      <c r="E154" s="140">
        <v>44608</v>
      </c>
      <c r="F154" s="268" t="s">
        <v>4432</v>
      </c>
      <c r="G154" s="96" t="s">
        <v>1251</v>
      </c>
      <c r="H154" s="99" t="s">
        <v>1252</v>
      </c>
      <c r="I154" s="96" t="s">
        <v>146</v>
      </c>
      <c r="J154" s="133" t="s">
        <v>1253</v>
      </c>
      <c r="K154" s="341">
        <v>5222524</v>
      </c>
      <c r="L154" s="96" t="s">
        <v>328</v>
      </c>
      <c r="M154" s="99" t="s">
        <v>1331</v>
      </c>
      <c r="N154" s="99"/>
      <c r="O154" s="99">
        <v>202200779</v>
      </c>
      <c r="P154" s="173"/>
      <c r="Q154" s="96" t="s">
        <v>146</v>
      </c>
      <c r="R154" s="96" t="s">
        <v>146</v>
      </c>
      <c r="S154" s="96" t="s">
        <v>1561</v>
      </c>
      <c r="T154" s="111" t="s">
        <v>40</v>
      </c>
      <c r="U154" s="96" t="s">
        <v>503</v>
      </c>
      <c r="V154" s="97">
        <v>44608</v>
      </c>
      <c r="W154" s="166">
        <v>106</v>
      </c>
      <c r="X154" s="166">
        <v>106</v>
      </c>
      <c r="Y154" s="99" t="s">
        <v>1317</v>
      </c>
      <c r="Z154" s="96" t="s">
        <v>168</v>
      </c>
      <c r="AA154" s="96" t="s">
        <v>169</v>
      </c>
      <c r="AB154" s="96" t="s">
        <v>1787</v>
      </c>
      <c r="AC154" s="96"/>
      <c r="AD154" s="97">
        <v>44708</v>
      </c>
      <c r="AE154" s="362" t="s">
        <v>4435</v>
      </c>
      <c r="AF154" s="98"/>
      <c r="AG154" s="166">
        <v>100</v>
      </c>
      <c r="AH154" s="166">
        <v>100</v>
      </c>
      <c r="AI154" s="99" t="s">
        <v>146</v>
      </c>
      <c r="AJ154" s="96" t="s">
        <v>171</v>
      </c>
      <c r="AK154" s="99" t="s">
        <v>1789</v>
      </c>
      <c r="AL154" s="97">
        <v>44704</v>
      </c>
      <c r="AM154" s="211">
        <v>5213002</v>
      </c>
      <c r="AN154" s="96" t="s">
        <v>1790</v>
      </c>
      <c r="AO154" s="96"/>
      <c r="AP154" s="181">
        <f t="shared" ref="AP154" si="53">+K154-AM154</f>
        <v>9522</v>
      </c>
      <c r="AQ154" s="138"/>
      <c r="AR154" s="138"/>
      <c r="AS154" s="99" t="s">
        <v>146</v>
      </c>
      <c r="AT154" s="99" t="s">
        <v>146</v>
      </c>
      <c r="AU154" s="138"/>
      <c r="AV154" s="99" t="s">
        <v>174</v>
      </c>
      <c r="AW154" s="99" t="s">
        <v>175</v>
      </c>
      <c r="AX154" s="99"/>
      <c r="AY154" s="167">
        <f>+AP154/K154</f>
        <v>1.8232563411867519E-3</v>
      </c>
      <c r="AZ154" s="139">
        <f t="shared" si="51"/>
        <v>1</v>
      </c>
      <c r="BA154" s="139">
        <f>IF(T154="Invitación Privada",1,IF(T154="Invitación Pública",2,0))</f>
        <v>2</v>
      </c>
      <c r="BB154" s="132">
        <f>IF(AA154="CONTRATADO",IF(BA154=1,NETWORKDAYS.INTL(E154,AD154,1,[1]FESTIVOS!$B$3:$B$10)-1,AD154-E154))-BD154</f>
        <v>100</v>
      </c>
      <c r="BC154" s="160"/>
      <c r="BD154" s="162">
        <v>0</v>
      </c>
      <c r="BE154" s="382" t="s">
        <v>2052</v>
      </c>
      <c r="BF154" s="76"/>
    </row>
    <row r="155" spans="2:58" ht="43.9" customHeight="1" x14ac:dyDescent="0.25">
      <c r="B155" s="100">
        <f t="shared" si="49"/>
        <v>137</v>
      </c>
      <c r="C155" s="293" t="s">
        <v>1254</v>
      </c>
      <c r="D155" s="265" t="s">
        <v>28</v>
      </c>
      <c r="E155" s="272">
        <v>44608</v>
      </c>
      <c r="F155" s="268" t="s">
        <v>4432</v>
      </c>
      <c r="G155" s="269" t="s">
        <v>1255</v>
      </c>
      <c r="H155" s="265" t="s">
        <v>1256</v>
      </c>
      <c r="I155" s="265" t="s">
        <v>146</v>
      </c>
      <c r="J155" s="269" t="s">
        <v>1257</v>
      </c>
      <c r="K155" s="342">
        <v>5580200</v>
      </c>
      <c r="L155" s="282"/>
      <c r="M155" s="265" t="s">
        <v>1309</v>
      </c>
      <c r="N155" s="302" t="str">
        <f>MID(M155,5,3)</f>
        <v>IPU</v>
      </c>
      <c r="O155" s="265">
        <v>202200777</v>
      </c>
      <c r="P155" s="271"/>
      <c r="Q155" s="265" t="s">
        <v>146</v>
      </c>
      <c r="R155" s="265" t="s">
        <v>146</v>
      </c>
      <c r="S155" s="265" t="s">
        <v>1561</v>
      </c>
      <c r="T155" s="111" t="s">
        <v>40</v>
      </c>
      <c r="U155" s="269" t="s">
        <v>572</v>
      </c>
      <c r="V155" s="284">
        <v>44608</v>
      </c>
      <c r="W155" s="303" t="e">
        <f>+$D$4-E155</f>
        <v>#VALUE!</v>
      </c>
      <c r="X155" s="303" t="e">
        <f>$D$4-V155</f>
        <v>#VALUE!</v>
      </c>
      <c r="Y155" s="265" t="s">
        <v>1300</v>
      </c>
      <c r="Z155" s="265" t="s">
        <v>152</v>
      </c>
      <c r="AA155" s="265" t="s">
        <v>153</v>
      </c>
      <c r="AB155" s="265"/>
      <c r="AC155" s="304" t="s">
        <v>1310</v>
      </c>
      <c r="AD155" s="285">
        <v>44659</v>
      </c>
      <c r="AE155" s="285"/>
      <c r="AF155" s="305" t="str">
        <f>+IF(AD155="","",TEXT(AD155,"mmm"))</f>
        <v>abr</v>
      </c>
      <c r="AG155" s="306">
        <f>+AD155-E155</f>
        <v>51</v>
      </c>
      <c r="AH155" s="307">
        <f>+AD155-V155</f>
        <v>51</v>
      </c>
      <c r="AI155" s="265" t="s">
        <v>146</v>
      </c>
      <c r="AJ155" s="265" t="s">
        <v>171</v>
      </c>
      <c r="AK155" s="265"/>
      <c r="AL155" s="265"/>
      <c r="AM155" s="265"/>
      <c r="AN155" s="309"/>
      <c r="AO155" s="269"/>
      <c r="AP155" s="265"/>
      <c r="AQ155" s="309">
        <f>+K155-AN155</f>
        <v>5580200</v>
      </c>
      <c r="AR155" s="289"/>
      <c r="AS155" s="269"/>
      <c r="AT155" s="265"/>
      <c r="AU155" s="260"/>
      <c r="AV155" s="260"/>
      <c r="AW155" s="200"/>
      <c r="AX155" s="200"/>
      <c r="AY155" s="200"/>
      <c r="AZ155" s="139">
        <f t="shared" si="51"/>
        <v>1</v>
      </c>
      <c r="BA155" s="200"/>
      <c r="BB155" s="200"/>
      <c r="BC155" s="3"/>
      <c r="BD155" s="359"/>
      <c r="BE155" s="355"/>
      <c r="BF155" s="160"/>
    </row>
    <row r="156" spans="2:58" ht="43.9" customHeight="1" x14ac:dyDescent="0.25">
      <c r="B156" s="100">
        <f t="shared" si="49"/>
        <v>138</v>
      </c>
      <c r="C156" s="110" t="s">
        <v>1791</v>
      </c>
      <c r="D156" s="99" t="s">
        <v>28</v>
      </c>
      <c r="E156" s="140">
        <v>44609</v>
      </c>
      <c r="F156" s="268" t="s">
        <v>4432</v>
      </c>
      <c r="G156" s="96" t="s">
        <v>1792</v>
      </c>
      <c r="H156" s="99" t="s">
        <v>1793</v>
      </c>
      <c r="I156" s="96" t="s">
        <v>146</v>
      </c>
      <c r="J156" s="133" t="s">
        <v>1794</v>
      </c>
      <c r="K156" s="341">
        <v>29999960</v>
      </c>
      <c r="L156" s="96" t="s">
        <v>549</v>
      </c>
      <c r="M156" s="99" t="s">
        <v>1795</v>
      </c>
      <c r="N156" s="99"/>
      <c r="O156" s="99">
        <v>202202192</v>
      </c>
      <c r="P156" s="173">
        <v>30000000</v>
      </c>
      <c r="Q156" s="96" t="s">
        <v>146</v>
      </c>
      <c r="R156" s="96" t="s">
        <v>146</v>
      </c>
      <c r="S156" s="96" t="s">
        <v>1561</v>
      </c>
      <c r="T156" s="111" t="s">
        <v>40</v>
      </c>
      <c r="U156" s="96" t="s">
        <v>161</v>
      </c>
      <c r="V156" s="97">
        <v>44609</v>
      </c>
      <c r="W156" s="166">
        <v>105</v>
      </c>
      <c r="X156" s="166">
        <v>105</v>
      </c>
      <c r="Y156" s="99" t="s">
        <v>1317</v>
      </c>
      <c r="Z156" s="96" t="s">
        <v>168</v>
      </c>
      <c r="AA156" s="96" t="s">
        <v>169</v>
      </c>
      <c r="AB156" s="96" t="s">
        <v>1796</v>
      </c>
      <c r="AC156" s="96"/>
      <c r="AD156" s="97">
        <v>44673</v>
      </c>
      <c r="AE156" s="362" t="s">
        <v>4435</v>
      </c>
      <c r="AF156" s="98"/>
      <c r="AG156" s="166">
        <v>64</v>
      </c>
      <c r="AH156" s="166">
        <v>64</v>
      </c>
      <c r="AI156" s="99" t="s">
        <v>146</v>
      </c>
      <c r="AJ156" s="96" t="s">
        <v>155</v>
      </c>
      <c r="AK156" s="99" t="s">
        <v>1797</v>
      </c>
      <c r="AL156" s="97">
        <v>44652</v>
      </c>
      <c r="AM156" s="165">
        <v>29988000</v>
      </c>
      <c r="AN156" s="96" t="s">
        <v>1798</v>
      </c>
      <c r="AO156" s="96"/>
      <c r="AP156" s="181">
        <f t="shared" ref="AP156" si="54">+K156-AM156</f>
        <v>11960</v>
      </c>
      <c r="AQ156" s="138"/>
      <c r="AR156" s="138"/>
      <c r="AS156" s="99" t="s">
        <v>1799</v>
      </c>
      <c r="AT156" s="97">
        <v>44596</v>
      </c>
      <c r="AU156" s="138"/>
      <c r="AV156" s="99" t="s">
        <v>174</v>
      </c>
      <c r="AW156" s="99" t="s">
        <v>175</v>
      </c>
      <c r="AX156" s="99"/>
      <c r="AY156" s="167">
        <f>+AP156/K156</f>
        <v>3.9866719822293097E-4</v>
      </c>
      <c r="AZ156" s="139">
        <f t="shared" si="51"/>
        <v>1</v>
      </c>
      <c r="BA156" s="139">
        <f>IF(T156="Invitación Privada",1,IF(T156="Invitación Pública",2,0))</f>
        <v>2</v>
      </c>
      <c r="BB156" s="132">
        <f>IF(AA156="CONTRATADO",IF(BA156=1,NETWORKDAYS.INTL(E156,AD156,1,[1]FESTIVOS!$B$3:$B$10)-1,AD156-E156))-BD156</f>
        <v>64</v>
      </c>
      <c r="BC156" s="160"/>
      <c r="BD156" s="162">
        <v>0</v>
      </c>
      <c r="BE156" s="382" t="s">
        <v>2052</v>
      </c>
      <c r="BF156" s="156"/>
    </row>
    <row r="157" spans="2:58" ht="43.9" customHeight="1" x14ac:dyDescent="0.25">
      <c r="B157" s="100">
        <f t="shared" si="49"/>
        <v>139</v>
      </c>
      <c r="C157" s="293" t="s">
        <v>1258</v>
      </c>
      <c r="D157" s="265" t="s">
        <v>28</v>
      </c>
      <c r="E157" s="272">
        <v>44610</v>
      </c>
      <c r="F157" s="268" t="s">
        <v>4432</v>
      </c>
      <c r="G157" s="269" t="s">
        <v>1259</v>
      </c>
      <c r="H157" s="265" t="s">
        <v>931</v>
      </c>
      <c r="I157" s="265" t="s">
        <v>146</v>
      </c>
      <c r="J157" s="269" t="s">
        <v>1260</v>
      </c>
      <c r="K157" s="342">
        <v>119987700</v>
      </c>
      <c r="L157" s="282"/>
      <c r="M157" s="265" t="s">
        <v>1332</v>
      </c>
      <c r="N157" s="302" t="str">
        <f>MID(M157,5,3)</f>
        <v>IPU</v>
      </c>
      <c r="O157" s="265">
        <v>202201992</v>
      </c>
      <c r="P157" s="271"/>
      <c r="Q157" s="265" t="s">
        <v>146</v>
      </c>
      <c r="R157" s="265" t="s">
        <v>146</v>
      </c>
      <c r="S157" s="265" t="s">
        <v>1561</v>
      </c>
      <c r="T157" s="111" t="s">
        <v>40</v>
      </c>
      <c r="U157" s="269" t="s">
        <v>452</v>
      </c>
      <c r="V157" s="285">
        <v>44617</v>
      </c>
      <c r="W157" s="303" t="e">
        <f>+$D$4-E157</f>
        <v>#VALUE!</v>
      </c>
      <c r="X157" s="303" t="e">
        <f>$D$4-V157</f>
        <v>#VALUE!</v>
      </c>
      <c r="Y157" s="265" t="s">
        <v>1300</v>
      </c>
      <c r="Z157" s="265" t="s">
        <v>152</v>
      </c>
      <c r="AA157" s="265" t="s">
        <v>153</v>
      </c>
      <c r="AB157" s="265"/>
      <c r="AC157" s="304" t="s">
        <v>1563</v>
      </c>
      <c r="AD157" s="285">
        <v>44658</v>
      </c>
      <c r="AE157" s="285"/>
      <c r="AF157" s="305" t="str">
        <f>+IF(AD157="","",TEXT(AD157,"mmm"))</f>
        <v>abr</v>
      </c>
      <c r="AG157" s="306">
        <f t="shared" ref="AG157:AG166" si="55">+AD157-E157</f>
        <v>48</v>
      </c>
      <c r="AH157" s="307">
        <f t="shared" ref="AH157:AH166" si="56">+AD157-V157</f>
        <v>41</v>
      </c>
      <c r="AI157" s="265"/>
      <c r="AJ157" s="265" t="s">
        <v>171</v>
      </c>
      <c r="AK157" s="265"/>
      <c r="AL157" s="265"/>
      <c r="AM157" s="265"/>
      <c r="AN157" s="309"/>
      <c r="AO157" s="269"/>
      <c r="AP157" s="265"/>
      <c r="AQ157" s="309">
        <f>+K157-AN157</f>
        <v>119987700</v>
      </c>
      <c r="AR157" s="289"/>
      <c r="AS157" s="269"/>
      <c r="AT157" s="265"/>
      <c r="AU157" s="260"/>
      <c r="AV157" s="260"/>
      <c r="AW157" s="200"/>
      <c r="AX157" s="200"/>
      <c r="AY157" s="200"/>
      <c r="AZ157" s="139">
        <f t="shared" si="51"/>
        <v>1</v>
      </c>
      <c r="BA157" s="200"/>
      <c r="BB157" s="200"/>
      <c r="BC157" s="3"/>
      <c r="BD157" s="95"/>
      <c r="BE157" s="2"/>
    </row>
    <row r="158" spans="2:58" ht="43.9" customHeight="1" x14ac:dyDescent="0.25">
      <c r="B158" s="100">
        <f t="shared" si="49"/>
        <v>140</v>
      </c>
      <c r="C158" s="293" t="s">
        <v>1261</v>
      </c>
      <c r="D158" s="265" t="s">
        <v>28</v>
      </c>
      <c r="E158" s="272">
        <v>44610</v>
      </c>
      <c r="F158" s="268" t="s">
        <v>4432</v>
      </c>
      <c r="G158" s="269" t="s">
        <v>930</v>
      </c>
      <c r="H158" s="265" t="s">
        <v>936</v>
      </c>
      <c r="I158" s="265" t="s">
        <v>146</v>
      </c>
      <c r="J158" s="269" t="s">
        <v>937</v>
      </c>
      <c r="K158" s="342">
        <v>99995700</v>
      </c>
      <c r="L158" s="282"/>
      <c r="M158" s="265" t="s">
        <v>1333</v>
      </c>
      <c r="N158" s="302" t="str">
        <f>MID(M158,5,3)</f>
        <v>IPU</v>
      </c>
      <c r="O158" s="265">
        <v>202201991</v>
      </c>
      <c r="P158" s="271"/>
      <c r="Q158" s="265" t="s">
        <v>146</v>
      </c>
      <c r="R158" s="265" t="s">
        <v>146</v>
      </c>
      <c r="S158" s="265" t="s">
        <v>1561</v>
      </c>
      <c r="T158" s="111" t="s">
        <v>40</v>
      </c>
      <c r="U158" s="269" t="s">
        <v>452</v>
      </c>
      <c r="V158" s="285">
        <v>44617</v>
      </c>
      <c r="W158" s="303" t="e">
        <f>+$D$4-E158</f>
        <v>#VALUE!</v>
      </c>
      <c r="X158" s="303" t="e">
        <f>$D$4-V158</f>
        <v>#VALUE!</v>
      </c>
      <c r="Y158" s="265" t="s">
        <v>1300</v>
      </c>
      <c r="Z158" s="265" t="s">
        <v>152</v>
      </c>
      <c r="AA158" s="265" t="s">
        <v>153</v>
      </c>
      <c r="AB158" s="265"/>
      <c r="AC158" s="304" t="s">
        <v>1580</v>
      </c>
      <c r="AD158" s="272">
        <v>44658</v>
      </c>
      <c r="AE158" s="265"/>
      <c r="AF158" s="305" t="str">
        <f>+IF(AD158="","",TEXT(AD158,"mmm"))</f>
        <v>abr</v>
      </c>
      <c r="AG158" s="306">
        <f t="shared" si="55"/>
        <v>48</v>
      </c>
      <c r="AH158" s="307">
        <f t="shared" si="56"/>
        <v>41</v>
      </c>
      <c r="AI158" s="265"/>
      <c r="AJ158" s="265" t="s">
        <v>171</v>
      </c>
      <c r="AK158" s="265"/>
      <c r="AL158" s="265"/>
      <c r="AM158" s="265"/>
      <c r="AN158" s="309"/>
      <c r="AO158" s="269"/>
      <c r="AP158" s="265"/>
      <c r="AQ158" s="309">
        <f>+K158-AN158</f>
        <v>99995700</v>
      </c>
      <c r="AR158" s="289"/>
      <c r="AS158" s="269"/>
      <c r="AT158" s="265"/>
      <c r="AU158" s="260"/>
      <c r="AV158" s="260"/>
      <c r="AW158" s="200"/>
      <c r="AX158" s="200"/>
      <c r="AY158" s="200"/>
      <c r="AZ158" s="139">
        <f t="shared" si="51"/>
        <v>1</v>
      </c>
      <c r="BA158" s="200"/>
      <c r="BB158" s="200"/>
      <c r="BC158" s="3"/>
      <c r="BD158" s="217"/>
      <c r="BE158" s="200"/>
    </row>
    <row r="159" spans="2:58" ht="43.9" customHeight="1" x14ac:dyDescent="0.25">
      <c r="B159" s="100">
        <f t="shared" si="49"/>
        <v>141</v>
      </c>
      <c r="C159" s="293" t="s">
        <v>1262</v>
      </c>
      <c r="D159" s="265" t="s">
        <v>661</v>
      </c>
      <c r="E159" s="272">
        <v>44613</v>
      </c>
      <c r="F159" s="268" t="s">
        <v>4432</v>
      </c>
      <c r="G159" s="269" t="s">
        <v>1263</v>
      </c>
      <c r="H159" s="265" t="s">
        <v>1264</v>
      </c>
      <c r="I159" s="265" t="s">
        <v>146</v>
      </c>
      <c r="J159" s="269" t="s">
        <v>1265</v>
      </c>
      <c r="K159" s="342">
        <v>500000000</v>
      </c>
      <c r="L159" s="282"/>
      <c r="M159" s="265" t="s">
        <v>1334</v>
      </c>
      <c r="N159" s="302" t="str">
        <f>MID(M159,5,3)</f>
        <v>IPU</v>
      </c>
      <c r="O159" s="265">
        <v>202201953</v>
      </c>
      <c r="P159" s="271"/>
      <c r="Q159" s="265" t="s">
        <v>146</v>
      </c>
      <c r="R159" s="265" t="s">
        <v>146</v>
      </c>
      <c r="S159" s="265" t="s">
        <v>1561</v>
      </c>
      <c r="T159" s="111" t="s">
        <v>40</v>
      </c>
      <c r="U159" s="269" t="s">
        <v>4012</v>
      </c>
      <c r="V159" s="285">
        <v>44621</v>
      </c>
      <c r="W159" s="303" t="e">
        <f>+$D$4-E159</f>
        <v>#VALUE!</v>
      </c>
      <c r="X159" s="303" t="e">
        <f>$D$4-V159</f>
        <v>#VALUE!</v>
      </c>
      <c r="Y159" s="265" t="s">
        <v>1300</v>
      </c>
      <c r="Z159" s="265" t="s">
        <v>152</v>
      </c>
      <c r="AA159" s="265" t="s">
        <v>153</v>
      </c>
      <c r="AB159" s="265"/>
      <c r="AC159" s="304" t="s">
        <v>2054</v>
      </c>
      <c r="AD159" s="272">
        <v>44720</v>
      </c>
      <c r="AE159" s="265"/>
      <c r="AF159" s="305" t="str">
        <f>+IF(AD159="","",TEXT(AD159,"mmm"))</f>
        <v>jun</v>
      </c>
      <c r="AG159" s="306">
        <f t="shared" si="55"/>
        <v>107</v>
      </c>
      <c r="AH159" s="307">
        <f t="shared" si="56"/>
        <v>99</v>
      </c>
      <c r="AI159" s="265"/>
      <c r="AJ159" s="265" t="s">
        <v>171</v>
      </c>
      <c r="AK159" s="265"/>
      <c r="AL159" s="265"/>
      <c r="AM159" s="265"/>
      <c r="AN159" s="309"/>
      <c r="AO159" s="269"/>
      <c r="AP159" s="265"/>
      <c r="AQ159" s="309">
        <f>+K159-AN159</f>
        <v>500000000</v>
      </c>
      <c r="AR159" s="289"/>
      <c r="AS159" s="269"/>
      <c r="AT159" s="265"/>
      <c r="AU159" s="260"/>
      <c r="AV159" s="260"/>
      <c r="AW159" s="200"/>
      <c r="AX159" s="200"/>
      <c r="AY159" s="200"/>
      <c r="AZ159" s="139">
        <f t="shared" si="51"/>
        <v>0</v>
      </c>
      <c r="BA159" s="200"/>
      <c r="BB159" s="200"/>
      <c r="BC159" s="3"/>
      <c r="BD159" s="218"/>
      <c r="BE159" s="338"/>
    </row>
    <row r="160" spans="2:58" ht="43.9" customHeight="1" x14ac:dyDescent="0.25">
      <c r="B160" s="100">
        <f t="shared" si="49"/>
        <v>142</v>
      </c>
      <c r="C160" s="110" t="s">
        <v>1266</v>
      </c>
      <c r="D160" s="99" t="s">
        <v>359</v>
      </c>
      <c r="E160" s="140">
        <v>44615</v>
      </c>
      <c r="F160" s="268" t="s">
        <v>4432</v>
      </c>
      <c r="G160" s="96" t="s">
        <v>1267</v>
      </c>
      <c r="H160" s="99" t="s">
        <v>1268</v>
      </c>
      <c r="I160" s="96" t="s">
        <v>146</v>
      </c>
      <c r="J160" s="133" t="s">
        <v>1269</v>
      </c>
      <c r="K160" s="341">
        <v>300000000</v>
      </c>
      <c r="L160" s="96" t="s">
        <v>228</v>
      </c>
      <c r="M160" s="99" t="s">
        <v>1335</v>
      </c>
      <c r="N160" s="99"/>
      <c r="O160" s="99">
        <v>202202680</v>
      </c>
      <c r="P160" s="172">
        <v>300000000</v>
      </c>
      <c r="Q160" s="96" t="s">
        <v>146</v>
      </c>
      <c r="R160" s="96" t="s">
        <v>146</v>
      </c>
      <c r="S160" s="96" t="s">
        <v>1561</v>
      </c>
      <c r="T160" s="111" t="s">
        <v>40</v>
      </c>
      <c r="U160" s="111" t="s">
        <v>187</v>
      </c>
      <c r="V160" s="97">
        <v>44617</v>
      </c>
      <c r="W160" s="166" t="e">
        <f>+#REF!-E160</f>
        <v>#REF!</v>
      </c>
      <c r="X160" s="166" t="e">
        <f>#REF!-V160</f>
        <v>#REF!</v>
      </c>
      <c r="Y160" s="99" t="s">
        <v>1317</v>
      </c>
      <c r="Z160" s="166" t="s">
        <v>168</v>
      </c>
      <c r="AA160" s="96" t="s">
        <v>169</v>
      </c>
      <c r="AB160" s="96" t="s">
        <v>2330</v>
      </c>
      <c r="AC160" s="99"/>
      <c r="AD160" s="97">
        <v>44714</v>
      </c>
      <c r="AE160" s="183" t="s">
        <v>4436</v>
      </c>
      <c r="AF160" s="98"/>
      <c r="AG160" s="166">
        <f t="shared" si="55"/>
        <v>99</v>
      </c>
      <c r="AH160" s="166">
        <f t="shared" si="56"/>
        <v>97</v>
      </c>
      <c r="AI160" s="99" t="s">
        <v>146</v>
      </c>
      <c r="AJ160" s="96" t="s">
        <v>171</v>
      </c>
      <c r="AK160" s="99" t="s">
        <v>2331</v>
      </c>
      <c r="AL160" s="97">
        <v>44707</v>
      </c>
      <c r="AM160" s="211">
        <v>300000000</v>
      </c>
      <c r="AN160" s="96" t="s">
        <v>2332</v>
      </c>
      <c r="AO160" s="99">
        <v>202205624</v>
      </c>
      <c r="AP160" s="181">
        <f t="shared" ref="AP160" si="57">+K160-AM160</f>
        <v>0</v>
      </c>
      <c r="AQ160" s="138"/>
      <c r="AR160" s="138"/>
      <c r="AS160" s="99" t="s">
        <v>146</v>
      </c>
      <c r="AT160" s="99" t="s">
        <v>146</v>
      </c>
      <c r="AU160" s="138"/>
      <c r="AV160" s="99" t="s">
        <v>1000</v>
      </c>
      <c r="AW160" s="99" t="s">
        <v>2333</v>
      </c>
      <c r="AX160" s="99"/>
      <c r="AY160" s="167">
        <f>+AP160/K160</f>
        <v>0</v>
      </c>
      <c r="AZ160" s="139">
        <f t="shared" si="51"/>
        <v>0</v>
      </c>
      <c r="BA160" s="139">
        <f>IF(T160="Invitación Privada",1,IF(T160="Invitación Pública",2,0))</f>
        <v>2</v>
      </c>
      <c r="BB160" s="132">
        <f>IF(AA160="CONTRATADO",IF(BA160=1,NETWORKDAYS.INTL(E160,AD160,1,[1]FESTIVOS!$B$3:$B$10)-1,AD160-E160))-BD160</f>
        <v>99</v>
      </c>
      <c r="BC160" s="156"/>
      <c r="BD160" s="162">
        <v>0</v>
      </c>
      <c r="BE160" s="382" t="s">
        <v>2052</v>
      </c>
      <c r="BF160" s="76"/>
    </row>
    <row r="161" spans="2:58" ht="43.9" customHeight="1" x14ac:dyDescent="0.25">
      <c r="B161" s="100">
        <f t="shared" si="49"/>
        <v>143</v>
      </c>
      <c r="C161" s="293" t="s">
        <v>1270</v>
      </c>
      <c r="D161" s="265" t="s">
        <v>28</v>
      </c>
      <c r="E161" s="272">
        <v>44615</v>
      </c>
      <c r="F161" s="268" t="s">
        <v>4432</v>
      </c>
      <c r="G161" s="269" t="s">
        <v>1271</v>
      </c>
      <c r="H161" s="265" t="s">
        <v>1272</v>
      </c>
      <c r="I161" s="265" t="s">
        <v>146</v>
      </c>
      <c r="J161" s="269" t="s">
        <v>1273</v>
      </c>
      <c r="K161" s="342">
        <v>179985537</v>
      </c>
      <c r="L161" s="282"/>
      <c r="M161" s="265" t="s">
        <v>1336</v>
      </c>
      <c r="N161" s="302" t="str">
        <f>MID(M161,5,3)</f>
        <v>IPU</v>
      </c>
      <c r="O161" s="265">
        <v>202200892</v>
      </c>
      <c r="P161" s="271"/>
      <c r="Q161" s="265" t="s">
        <v>146</v>
      </c>
      <c r="R161" s="265" t="s">
        <v>146</v>
      </c>
      <c r="S161" s="265" t="s">
        <v>1561</v>
      </c>
      <c r="T161" s="111" t="s">
        <v>40</v>
      </c>
      <c r="U161" s="269" t="s">
        <v>187</v>
      </c>
      <c r="V161" s="285">
        <v>44617</v>
      </c>
      <c r="W161" s="303" t="e">
        <f>+$D$4-E161</f>
        <v>#VALUE!</v>
      </c>
      <c r="X161" s="303" t="e">
        <f>$D$4-V161</f>
        <v>#VALUE!</v>
      </c>
      <c r="Y161" s="265" t="s">
        <v>1300</v>
      </c>
      <c r="Z161" s="265" t="s">
        <v>152</v>
      </c>
      <c r="AA161" s="265" t="s">
        <v>153</v>
      </c>
      <c r="AB161" s="265"/>
      <c r="AC161" s="304" t="s">
        <v>1865</v>
      </c>
      <c r="AD161" s="272">
        <v>44690</v>
      </c>
      <c r="AE161" s="265"/>
      <c r="AF161" s="305" t="str">
        <f>+IF(AD161="","",TEXT(AD161,"mmm"))</f>
        <v>may</v>
      </c>
      <c r="AG161" s="306">
        <f t="shared" si="55"/>
        <v>75</v>
      </c>
      <c r="AH161" s="307">
        <f t="shared" si="56"/>
        <v>73</v>
      </c>
      <c r="AI161" s="265"/>
      <c r="AJ161" s="265" t="s">
        <v>171</v>
      </c>
      <c r="AK161" s="265"/>
      <c r="AL161" s="265"/>
      <c r="AM161" s="265"/>
      <c r="AN161" s="309"/>
      <c r="AO161" s="269"/>
      <c r="AP161" s="265"/>
      <c r="AQ161" s="309">
        <f>+K161-AN161</f>
        <v>179985537</v>
      </c>
      <c r="AR161" s="289"/>
      <c r="AS161" s="269"/>
      <c r="AT161" s="265"/>
      <c r="AU161" s="260"/>
      <c r="AV161" s="260"/>
      <c r="AW161" s="200"/>
      <c r="AX161" s="200"/>
      <c r="AY161" s="200"/>
      <c r="AZ161" s="139">
        <f t="shared" si="51"/>
        <v>1</v>
      </c>
      <c r="BA161" s="200"/>
      <c r="BB161" s="200"/>
      <c r="BC161" s="3"/>
      <c r="BD161" s="360"/>
      <c r="BE161" s="356"/>
      <c r="BF161" s="160"/>
    </row>
    <row r="162" spans="2:58" ht="43.9" customHeight="1" x14ac:dyDescent="0.25">
      <c r="B162" s="100">
        <f t="shared" si="49"/>
        <v>144</v>
      </c>
      <c r="C162" s="293" t="s">
        <v>1274</v>
      </c>
      <c r="D162" s="265" t="s">
        <v>28</v>
      </c>
      <c r="E162" s="272">
        <v>44615</v>
      </c>
      <c r="F162" s="268" t="s">
        <v>4432</v>
      </c>
      <c r="G162" s="269" t="s">
        <v>1275</v>
      </c>
      <c r="H162" s="265" t="s">
        <v>1276</v>
      </c>
      <c r="I162" s="265" t="s">
        <v>146</v>
      </c>
      <c r="J162" s="269" t="s">
        <v>1277</v>
      </c>
      <c r="K162" s="342">
        <v>3058210890</v>
      </c>
      <c r="L162" s="282"/>
      <c r="M162" s="265" t="s">
        <v>1337</v>
      </c>
      <c r="N162" s="302" t="str">
        <f>MID(M162,5,3)</f>
        <v>IPU</v>
      </c>
      <c r="O162" s="265">
        <v>202202189</v>
      </c>
      <c r="P162" s="271"/>
      <c r="Q162" s="265" t="s">
        <v>146</v>
      </c>
      <c r="R162" s="265" t="s">
        <v>146</v>
      </c>
      <c r="S162" s="265" t="s">
        <v>1560</v>
      </c>
      <c r="T162" s="111" t="s">
        <v>40</v>
      </c>
      <c r="U162" s="269" t="s">
        <v>161</v>
      </c>
      <c r="V162" s="285">
        <v>44617</v>
      </c>
      <c r="W162" s="303" t="e">
        <f>+$D$4-E162</f>
        <v>#VALUE!</v>
      </c>
      <c r="X162" s="303" t="e">
        <f>$D$4-V162</f>
        <v>#VALUE!</v>
      </c>
      <c r="Y162" s="265" t="s">
        <v>1300</v>
      </c>
      <c r="Z162" s="265" t="s">
        <v>152</v>
      </c>
      <c r="AA162" s="265" t="s">
        <v>153</v>
      </c>
      <c r="AB162" s="265"/>
      <c r="AC162" s="304" t="s">
        <v>1866</v>
      </c>
      <c r="AD162" s="285">
        <v>44685</v>
      </c>
      <c r="AE162" s="285"/>
      <c r="AF162" s="305" t="str">
        <f>+IF(AD162="","",TEXT(AD162,"mmm"))</f>
        <v>may</v>
      </c>
      <c r="AG162" s="306">
        <f t="shared" si="55"/>
        <v>70</v>
      </c>
      <c r="AH162" s="307">
        <f t="shared" si="56"/>
        <v>68</v>
      </c>
      <c r="AI162" s="265"/>
      <c r="AJ162" s="265" t="s">
        <v>155</v>
      </c>
      <c r="AK162" s="265"/>
      <c r="AL162" s="265"/>
      <c r="AM162" s="265"/>
      <c r="AN162" s="309"/>
      <c r="AO162" s="269"/>
      <c r="AP162" s="265"/>
      <c r="AQ162" s="309">
        <f>+K162-AN162</f>
        <v>3058210890</v>
      </c>
      <c r="AR162" s="289"/>
      <c r="AS162" s="269"/>
      <c r="AT162" s="265"/>
      <c r="AU162" s="260"/>
      <c r="AV162" s="260"/>
      <c r="AW162" s="200"/>
      <c r="AX162" s="200"/>
      <c r="AY162" s="200"/>
      <c r="AZ162" s="139">
        <f t="shared" si="51"/>
        <v>1</v>
      </c>
      <c r="BA162" s="200"/>
      <c r="BB162" s="200"/>
      <c r="BC162" s="3"/>
      <c r="BD162" s="95"/>
      <c r="BE162" s="2"/>
    </row>
    <row r="163" spans="2:58" ht="43.9" customHeight="1" x14ac:dyDescent="0.25">
      <c r="B163" s="100">
        <f t="shared" si="49"/>
        <v>145</v>
      </c>
      <c r="C163" s="110" t="s">
        <v>1278</v>
      </c>
      <c r="D163" s="99" t="s">
        <v>28</v>
      </c>
      <c r="E163" s="140">
        <v>44615</v>
      </c>
      <c r="F163" s="268" t="s">
        <v>4432</v>
      </c>
      <c r="G163" s="96" t="s">
        <v>1279</v>
      </c>
      <c r="H163" s="99" t="s">
        <v>1280</v>
      </c>
      <c r="I163" s="96" t="s">
        <v>146</v>
      </c>
      <c r="J163" s="133" t="s">
        <v>1281</v>
      </c>
      <c r="K163" s="341">
        <v>241153500</v>
      </c>
      <c r="L163" s="96"/>
      <c r="M163" s="96" t="s">
        <v>1338</v>
      </c>
      <c r="N163" s="96"/>
      <c r="O163" s="99">
        <v>202202191</v>
      </c>
      <c r="P163" s="173"/>
      <c r="Q163" s="96" t="s">
        <v>146</v>
      </c>
      <c r="R163" s="96" t="s">
        <v>146</v>
      </c>
      <c r="S163" s="96" t="s">
        <v>1561</v>
      </c>
      <c r="T163" s="111" t="s">
        <v>40</v>
      </c>
      <c r="U163" s="96" t="s">
        <v>187</v>
      </c>
      <c r="V163" s="97">
        <v>44617</v>
      </c>
      <c r="W163" s="166" t="e">
        <f>+#REF!-E163</f>
        <v>#REF!</v>
      </c>
      <c r="X163" s="166" t="e">
        <f>#REF!-V163</f>
        <v>#REF!</v>
      </c>
      <c r="Y163" s="99" t="s">
        <v>1317</v>
      </c>
      <c r="Z163" s="96" t="s">
        <v>168</v>
      </c>
      <c r="AA163" s="96" t="s">
        <v>169</v>
      </c>
      <c r="AB163" s="96" t="s">
        <v>2334</v>
      </c>
      <c r="AC163" s="96"/>
      <c r="AD163" s="97">
        <v>44740</v>
      </c>
      <c r="AE163" s="183" t="s">
        <v>4436</v>
      </c>
      <c r="AF163" s="98"/>
      <c r="AG163" s="166">
        <f t="shared" si="55"/>
        <v>125</v>
      </c>
      <c r="AH163" s="166">
        <f t="shared" si="56"/>
        <v>123</v>
      </c>
      <c r="AI163" s="99" t="s">
        <v>146</v>
      </c>
      <c r="AJ163" s="96" t="s">
        <v>155</v>
      </c>
      <c r="AK163" s="99" t="s">
        <v>2335</v>
      </c>
      <c r="AL163" s="97">
        <v>44699</v>
      </c>
      <c r="AM163" s="211">
        <v>238000000</v>
      </c>
      <c r="AN163" s="96" t="s">
        <v>2336</v>
      </c>
      <c r="AO163" s="99">
        <v>202205763</v>
      </c>
      <c r="AP163" s="181">
        <f t="shared" ref="AP163:AP164" si="58">+K163-AM163</f>
        <v>3153500</v>
      </c>
      <c r="AQ163" s="138"/>
      <c r="AR163" s="138"/>
      <c r="AS163" s="99"/>
      <c r="AT163" s="99"/>
      <c r="AU163" s="138"/>
      <c r="AV163" s="99" t="s">
        <v>174</v>
      </c>
      <c r="AW163" s="99" t="s">
        <v>175</v>
      </c>
      <c r="AX163" s="99"/>
      <c r="AY163" s="167">
        <f t="shared" ref="AY163:AY164" si="59">+AP163/K163</f>
        <v>1.3076733283987171E-2</v>
      </c>
      <c r="AZ163" s="139">
        <f t="shared" si="51"/>
        <v>1</v>
      </c>
      <c r="BA163" s="139">
        <f>IF(T163="Invitación Privada",1,IF(T163="Invitación Pública",2,0))</f>
        <v>2</v>
      </c>
      <c r="BB163" s="132">
        <f>IF(AA163="CONTRATADO",IF(BA163=1,NETWORKDAYS.INTL(E163,AD163,1,[1]FESTIVOS!$B$3:$B$10)-1,AD163-E163))-BD163</f>
        <v>98</v>
      </c>
      <c r="BC163" s="156"/>
      <c r="BD163" s="162">
        <f>12+15</f>
        <v>27</v>
      </c>
      <c r="BE163" s="389" t="s">
        <v>2375</v>
      </c>
      <c r="BF163" s="76"/>
    </row>
    <row r="164" spans="2:58" ht="43.9" customHeight="1" x14ac:dyDescent="0.25">
      <c r="B164" s="100">
        <f t="shared" si="49"/>
        <v>146</v>
      </c>
      <c r="C164" s="110" t="s">
        <v>1282</v>
      </c>
      <c r="D164" s="99" t="s">
        <v>28</v>
      </c>
      <c r="E164" s="140">
        <v>44616</v>
      </c>
      <c r="F164" s="268" t="s">
        <v>4432</v>
      </c>
      <c r="G164" s="96" t="s">
        <v>1283</v>
      </c>
      <c r="H164" s="99" t="s">
        <v>1284</v>
      </c>
      <c r="I164" s="96" t="s">
        <v>146</v>
      </c>
      <c r="J164" s="133" t="s">
        <v>1285</v>
      </c>
      <c r="K164" s="341">
        <v>100000000</v>
      </c>
      <c r="L164" s="96"/>
      <c r="M164" s="99" t="s">
        <v>1338</v>
      </c>
      <c r="N164" s="99"/>
      <c r="O164" s="99">
        <v>202202405</v>
      </c>
      <c r="P164" s="173"/>
      <c r="Q164" s="96" t="s">
        <v>146</v>
      </c>
      <c r="R164" s="96" t="s">
        <v>146</v>
      </c>
      <c r="S164" s="96" t="s">
        <v>1561</v>
      </c>
      <c r="T164" s="111" t="s">
        <v>40</v>
      </c>
      <c r="U164" s="96" t="s">
        <v>187</v>
      </c>
      <c r="V164" s="97">
        <v>44621</v>
      </c>
      <c r="W164" s="166" t="e">
        <f>+#REF!-E164</f>
        <v>#REF!</v>
      </c>
      <c r="X164" s="166" t="e">
        <f>#REF!-V164</f>
        <v>#REF!</v>
      </c>
      <c r="Y164" s="99" t="s">
        <v>1317</v>
      </c>
      <c r="Z164" s="96" t="s">
        <v>168</v>
      </c>
      <c r="AA164" s="96" t="s">
        <v>169</v>
      </c>
      <c r="AB164" s="96" t="s">
        <v>2337</v>
      </c>
      <c r="AC164" s="96"/>
      <c r="AD164" s="97">
        <v>44740</v>
      </c>
      <c r="AE164" s="183" t="s">
        <v>4436</v>
      </c>
      <c r="AF164" s="98"/>
      <c r="AG164" s="166">
        <f t="shared" si="55"/>
        <v>124</v>
      </c>
      <c r="AH164" s="166">
        <f t="shared" si="56"/>
        <v>119</v>
      </c>
      <c r="AI164" s="99" t="s">
        <v>146</v>
      </c>
      <c r="AJ164" s="96" t="s">
        <v>155</v>
      </c>
      <c r="AK164" s="99" t="s">
        <v>2338</v>
      </c>
      <c r="AL164" s="97">
        <v>44699</v>
      </c>
      <c r="AM164" s="211">
        <v>99999999</v>
      </c>
      <c r="AN164" s="96" t="s">
        <v>2336</v>
      </c>
      <c r="AO164" s="99">
        <v>202205764</v>
      </c>
      <c r="AP164" s="181">
        <f t="shared" si="58"/>
        <v>1</v>
      </c>
      <c r="AQ164" s="138"/>
      <c r="AR164" s="138"/>
      <c r="AS164" s="99"/>
      <c r="AT164" s="99"/>
      <c r="AU164" s="138"/>
      <c r="AV164" s="99" t="s">
        <v>174</v>
      </c>
      <c r="AW164" s="99" t="s">
        <v>175</v>
      </c>
      <c r="AX164" s="99"/>
      <c r="AY164" s="167">
        <f t="shared" si="59"/>
        <v>1E-8</v>
      </c>
      <c r="AZ164" s="139">
        <f t="shared" si="51"/>
        <v>1</v>
      </c>
      <c r="BA164" s="139">
        <f>IF(T164="Invitación Privada",1,IF(T164="Invitación Pública",2,0))</f>
        <v>2</v>
      </c>
      <c r="BB164" s="132">
        <f>IF(AA164="CONTRATADO",IF(BA164=1,NETWORKDAYS.INTL(E164,AD164,1,[1]FESTIVOS!$B$3:$B$10)-1,AD164-E164))-BD164</f>
        <v>97</v>
      </c>
      <c r="BC164" s="156"/>
      <c r="BD164" s="162">
        <f>12+15</f>
        <v>27</v>
      </c>
      <c r="BE164" s="389" t="s">
        <v>2375</v>
      </c>
      <c r="BF164" s="76"/>
    </row>
    <row r="165" spans="2:58" ht="43.9" customHeight="1" x14ac:dyDescent="0.25">
      <c r="B165" s="100">
        <f t="shared" si="49"/>
        <v>147</v>
      </c>
      <c r="C165" s="293" t="s">
        <v>1286</v>
      </c>
      <c r="D165" s="265" t="s">
        <v>28</v>
      </c>
      <c r="E165" s="272">
        <v>44621</v>
      </c>
      <c r="F165" s="268" t="s">
        <v>4433</v>
      </c>
      <c r="G165" s="269" t="s">
        <v>1287</v>
      </c>
      <c r="H165" s="265" t="s">
        <v>1288</v>
      </c>
      <c r="I165" s="265" t="s">
        <v>146</v>
      </c>
      <c r="J165" s="269" t="s">
        <v>1289</v>
      </c>
      <c r="K165" s="342">
        <v>109994080</v>
      </c>
      <c r="L165" s="282" t="s">
        <v>1206</v>
      </c>
      <c r="M165" s="265" t="s">
        <v>1339</v>
      </c>
      <c r="N165" s="302" t="str">
        <f>MID(M165,5,3)</f>
        <v>IPU</v>
      </c>
      <c r="O165" s="265">
        <v>202201829</v>
      </c>
      <c r="P165" s="271">
        <v>110000000</v>
      </c>
      <c r="Q165" s="265" t="s">
        <v>146</v>
      </c>
      <c r="R165" s="265" t="s">
        <v>146</v>
      </c>
      <c r="S165" s="265" t="s">
        <v>1561</v>
      </c>
      <c r="T165" s="111" t="s">
        <v>40</v>
      </c>
      <c r="U165" s="269" t="s">
        <v>256</v>
      </c>
      <c r="V165" s="285">
        <v>44621</v>
      </c>
      <c r="W165" s="303" t="e">
        <f>+$D$4-E165</f>
        <v>#VALUE!</v>
      </c>
      <c r="X165" s="303" t="e">
        <f>$D$4-V165</f>
        <v>#VALUE!</v>
      </c>
      <c r="Y165" s="265" t="s">
        <v>1300</v>
      </c>
      <c r="Z165" s="265" t="s">
        <v>152</v>
      </c>
      <c r="AA165" s="265" t="s">
        <v>153</v>
      </c>
      <c r="AB165" s="265"/>
      <c r="AC165" s="304" t="s">
        <v>1800</v>
      </c>
      <c r="AD165" s="285">
        <v>44705</v>
      </c>
      <c r="AE165" s="285"/>
      <c r="AF165" s="305" t="str">
        <f>+IF(AD165="","",TEXT(AD165,"mmm"))</f>
        <v>may</v>
      </c>
      <c r="AG165" s="306">
        <f t="shared" si="55"/>
        <v>84</v>
      </c>
      <c r="AH165" s="307">
        <f t="shared" si="56"/>
        <v>84</v>
      </c>
      <c r="AI165" s="265" t="s">
        <v>258</v>
      </c>
      <c r="AJ165" s="265" t="s">
        <v>155</v>
      </c>
      <c r="AK165" s="265"/>
      <c r="AL165" s="265"/>
      <c r="AM165" s="265"/>
      <c r="AN165" s="309"/>
      <c r="AO165" s="269"/>
      <c r="AP165" s="265"/>
      <c r="AQ165" s="309">
        <f>+K165-AN165</f>
        <v>109994080</v>
      </c>
      <c r="AR165" s="289"/>
      <c r="AS165" s="269"/>
      <c r="AT165" s="265"/>
      <c r="AU165" s="260"/>
      <c r="AV165" s="260"/>
      <c r="AW165" s="200"/>
      <c r="AX165" s="200"/>
      <c r="AY165" s="200"/>
      <c r="AZ165" s="139">
        <f t="shared" si="51"/>
        <v>1</v>
      </c>
      <c r="BA165" s="200"/>
      <c r="BB165" s="200"/>
      <c r="BC165" s="3"/>
      <c r="BD165" s="95"/>
      <c r="BE165" s="2"/>
    </row>
    <row r="166" spans="2:58" ht="43.9" customHeight="1" x14ac:dyDescent="0.25">
      <c r="B166" s="100">
        <f t="shared" si="49"/>
        <v>148</v>
      </c>
      <c r="C166" s="293" t="s">
        <v>1290</v>
      </c>
      <c r="D166" s="265" t="s">
        <v>28</v>
      </c>
      <c r="E166" s="272">
        <v>44621</v>
      </c>
      <c r="F166" s="268" t="s">
        <v>4433</v>
      </c>
      <c r="G166" s="269" t="s">
        <v>1291</v>
      </c>
      <c r="H166" s="265" t="s">
        <v>1292</v>
      </c>
      <c r="I166" s="265" t="s">
        <v>146</v>
      </c>
      <c r="J166" s="269" t="s">
        <v>1293</v>
      </c>
      <c r="K166" s="342">
        <v>149539291</v>
      </c>
      <c r="L166" s="282"/>
      <c r="M166" s="265" t="s">
        <v>1340</v>
      </c>
      <c r="N166" s="302" t="str">
        <f>MID(M166,5,3)</f>
        <v>IPU</v>
      </c>
      <c r="O166" s="265">
        <v>202201834</v>
      </c>
      <c r="P166" s="271">
        <v>149539291</v>
      </c>
      <c r="Q166" s="265" t="s">
        <v>146</v>
      </c>
      <c r="R166" s="265" t="s">
        <v>146</v>
      </c>
      <c r="S166" s="265" t="s">
        <v>1561</v>
      </c>
      <c r="T166" s="111" t="s">
        <v>40</v>
      </c>
      <c r="U166" s="269" t="s">
        <v>364</v>
      </c>
      <c r="V166" s="285">
        <v>44621</v>
      </c>
      <c r="W166" s="303" t="e">
        <f>+$D$4-E166</f>
        <v>#VALUE!</v>
      </c>
      <c r="X166" s="303" t="e">
        <f>$D$4-V166</f>
        <v>#VALUE!</v>
      </c>
      <c r="Y166" s="265" t="s">
        <v>1300</v>
      </c>
      <c r="Z166" s="265" t="s">
        <v>152</v>
      </c>
      <c r="AA166" s="265" t="s">
        <v>153</v>
      </c>
      <c r="AB166" s="265"/>
      <c r="AC166" s="304" t="s">
        <v>1879</v>
      </c>
      <c r="AD166" s="272">
        <v>44705</v>
      </c>
      <c r="AE166" s="265"/>
      <c r="AF166" s="305" t="str">
        <f>+IF(AD166="","",TEXT(AD166,"mmm"))</f>
        <v>may</v>
      </c>
      <c r="AG166" s="306">
        <f t="shared" si="55"/>
        <v>84</v>
      </c>
      <c r="AH166" s="307">
        <f t="shared" si="56"/>
        <v>84</v>
      </c>
      <c r="AI166" s="265"/>
      <c r="AJ166" s="265" t="s">
        <v>171</v>
      </c>
      <c r="AK166" s="265"/>
      <c r="AL166" s="265"/>
      <c r="AM166" s="265"/>
      <c r="AN166" s="309"/>
      <c r="AO166" s="269"/>
      <c r="AP166" s="265"/>
      <c r="AQ166" s="309">
        <f>+K166-AN166</f>
        <v>149539291</v>
      </c>
      <c r="AR166" s="289"/>
      <c r="AS166" s="269"/>
      <c r="AT166" s="265"/>
      <c r="AU166" s="260"/>
      <c r="AV166" s="260"/>
      <c r="AW166" s="200"/>
      <c r="AX166" s="200"/>
      <c r="AY166" s="200"/>
      <c r="AZ166" s="139">
        <f t="shared" si="51"/>
        <v>1</v>
      </c>
      <c r="BA166" s="200"/>
      <c r="BB166" s="200"/>
      <c r="BC166" s="3"/>
      <c r="BD166" s="95"/>
      <c r="BE166" s="2"/>
    </row>
    <row r="167" spans="2:58" ht="43.9" customHeight="1" x14ac:dyDescent="0.25">
      <c r="B167" s="100">
        <f t="shared" si="49"/>
        <v>149</v>
      </c>
      <c r="C167" s="110" t="s">
        <v>1341</v>
      </c>
      <c r="D167" s="99" t="s">
        <v>359</v>
      </c>
      <c r="E167" s="140">
        <v>44621</v>
      </c>
      <c r="F167" s="268" t="s">
        <v>4433</v>
      </c>
      <c r="G167" s="96" t="s">
        <v>1342</v>
      </c>
      <c r="H167" s="99" t="s">
        <v>1343</v>
      </c>
      <c r="I167" s="96" t="s">
        <v>146</v>
      </c>
      <c r="J167" s="133" t="s">
        <v>1344</v>
      </c>
      <c r="K167" s="341">
        <v>445000000</v>
      </c>
      <c r="L167" s="99" t="s">
        <v>1801</v>
      </c>
      <c r="M167" s="99" t="s">
        <v>1345</v>
      </c>
      <c r="N167" s="99"/>
      <c r="O167" s="99">
        <v>202202133</v>
      </c>
      <c r="P167" s="172">
        <v>445000000</v>
      </c>
      <c r="Q167" s="96" t="s">
        <v>146</v>
      </c>
      <c r="R167" s="96" t="s">
        <v>146</v>
      </c>
      <c r="S167" s="96" t="s">
        <v>1561</v>
      </c>
      <c r="T167" s="111" t="s">
        <v>40</v>
      </c>
      <c r="U167" s="96" t="s">
        <v>206</v>
      </c>
      <c r="V167" s="97">
        <v>44630</v>
      </c>
      <c r="W167" s="166">
        <v>93</v>
      </c>
      <c r="X167" s="166">
        <v>84</v>
      </c>
      <c r="Y167" s="99" t="s">
        <v>1317</v>
      </c>
      <c r="Z167" s="96" t="s">
        <v>168</v>
      </c>
      <c r="AA167" s="96" t="s">
        <v>169</v>
      </c>
      <c r="AB167" s="96" t="s">
        <v>1802</v>
      </c>
      <c r="AC167" s="99"/>
      <c r="AD167" s="97">
        <v>44697</v>
      </c>
      <c r="AE167" s="362" t="s">
        <v>4435</v>
      </c>
      <c r="AF167" s="98"/>
      <c r="AG167" s="166">
        <v>76</v>
      </c>
      <c r="AH167" s="166">
        <v>67</v>
      </c>
      <c r="AI167" s="99" t="s">
        <v>146</v>
      </c>
      <c r="AJ167" s="96" t="s">
        <v>171</v>
      </c>
      <c r="AK167" s="99" t="s">
        <v>1803</v>
      </c>
      <c r="AL167" s="97">
        <v>44691</v>
      </c>
      <c r="AM167" s="211">
        <v>418285000</v>
      </c>
      <c r="AN167" s="96" t="s">
        <v>1804</v>
      </c>
      <c r="AO167" s="96"/>
      <c r="AP167" s="181">
        <f t="shared" ref="AP167" si="60">+K167-AM167</f>
        <v>26715000</v>
      </c>
      <c r="AQ167" s="138"/>
      <c r="AR167" s="138"/>
      <c r="AS167" s="99" t="s">
        <v>146</v>
      </c>
      <c r="AT167" s="99" t="s">
        <v>146</v>
      </c>
      <c r="AU167" s="138"/>
      <c r="AV167" s="99" t="s">
        <v>174</v>
      </c>
      <c r="AW167" s="99" t="s">
        <v>175</v>
      </c>
      <c r="AX167" s="99"/>
      <c r="AY167" s="167">
        <f>+AP167/K167</f>
        <v>6.003370786516854E-2</v>
      </c>
      <c r="AZ167" s="139">
        <f t="shared" si="51"/>
        <v>0</v>
      </c>
      <c r="BA167" s="139">
        <f>IF(T167="Invitación Privada",1,IF(T167="Invitación Pública",2,0))</f>
        <v>2</v>
      </c>
      <c r="BB167" s="132">
        <f>IF(AA167="CONTRATADO",IF(BA167=1,NETWORKDAYS.INTL(E167,AD167,1,[1]FESTIVOS!$B$3:$B$10)-1,AD167-E167))-BD167</f>
        <v>76</v>
      </c>
      <c r="BC167" s="160"/>
      <c r="BD167" s="162">
        <v>0</v>
      </c>
      <c r="BE167" s="382" t="s">
        <v>2052</v>
      </c>
      <c r="BF167" s="76"/>
    </row>
    <row r="168" spans="2:58" ht="43.9" customHeight="1" x14ac:dyDescent="0.25">
      <c r="B168" s="100">
        <f t="shared" si="49"/>
        <v>150</v>
      </c>
      <c r="C168" s="293" t="s">
        <v>1311</v>
      </c>
      <c r="D168" s="265" t="s">
        <v>359</v>
      </c>
      <c r="E168" s="272">
        <v>44621</v>
      </c>
      <c r="F168" s="268" t="s">
        <v>4433</v>
      </c>
      <c r="G168" s="269" t="s">
        <v>1312</v>
      </c>
      <c r="H168" s="265" t="s">
        <v>1313</v>
      </c>
      <c r="I168" s="265" t="s">
        <v>146</v>
      </c>
      <c r="J168" s="269" t="s">
        <v>1314</v>
      </c>
      <c r="K168" s="342">
        <v>30000000</v>
      </c>
      <c r="L168" s="282"/>
      <c r="M168" s="265" t="s">
        <v>1315</v>
      </c>
      <c r="N168" s="302" t="str">
        <f>MID(M168,5,3)</f>
        <v>IPU</v>
      </c>
      <c r="O168" s="265">
        <v>202201914</v>
      </c>
      <c r="P168" s="271">
        <v>30000000</v>
      </c>
      <c r="Q168" s="265" t="s">
        <v>146</v>
      </c>
      <c r="R168" s="265" t="s">
        <v>146</v>
      </c>
      <c r="S168" s="265" t="s">
        <v>1561</v>
      </c>
      <c r="T168" s="111" t="s">
        <v>40</v>
      </c>
      <c r="U168" s="269" t="s">
        <v>364</v>
      </c>
      <c r="V168" s="285">
        <v>44622</v>
      </c>
      <c r="W168" s="303" t="e">
        <f>+$D$4-E168</f>
        <v>#VALUE!</v>
      </c>
      <c r="X168" s="303" t="e">
        <f>$D$4-V168</f>
        <v>#VALUE!</v>
      </c>
      <c r="Y168" s="265" t="s">
        <v>1300</v>
      </c>
      <c r="Z168" s="265" t="s">
        <v>152</v>
      </c>
      <c r="AA168" s="265" t="s">
        <v>153</v>
      </c>
      <c r="AB168" s="265"/>
      <c r="AC168" s="304" t="s">
        <v>1316</v>
      </c>
      <c r="AD168" s="272">
        <v>44651</v>
      </c>
      <c r="AE168" s="265"/>
      <c r="AF168" s="305" t="str">
        <f>+IF(AD168="","",TEXT(AD168,"mmm"))</f>
        <v>mar</v>
      </c>
      <c r="AG168" s="306">
        <f>+AD168-E168</f>
        <v>30</v>
      </c>
      <c r="AH168" s="307">
        <f>+AD168-V168</f>
        <v>29</v>
      </c>
      <c r="AI168" s="265"/>
      <c r="AJ168" s="265" t="s">
        <v>171</v>
      </c>
      <c r="AK168" s="265"/>
      <c r="AL168" s="265"/>
      <c r="AM168" s="265"/>
      <c r="AN168" s="309"/>
      <c r="AO168" s="269"/>
      <c r="AP168" s="265"/>
      <c r="AQ168" s="309" t="e">
        <f>+J168-AN168</f>
        <v>#VALUE!</v>
      </c>
      <c r="AR168" s="289"/>
      <c r="AS168" s="269"/>
      <c r="AT168" s="265"/>
      <c r="AU168" s="260"/>
      <c r="AV168" s="260"/>
      <c r="AW168" s="200"/>
      <c r="AX168" s="200"/>
      <c r="AY168" s="200"/>
      <c r="AZ168" s="139">
        <f t="shared" si="51"/>
        <v>0</v>
      </c>
      <c r="BA168" s="200"/>
      <c r="BB168" s="200"/>
      <c r="BC168" s="3"/>
      <c r="BD168" s="95"/>
      <c r="BE168" s="2"/>
    </row>
    <row r="169" spans="2:58" ht="43.9" customHeight="1" x14ac:dyDescent="0.25">
      <c r="B169" s="100">
        <f t="shared" si="49"/>
        <v>151</v>
      </c>
      <c r="C169" s="110" t="s">
        <v>1805</v>
      </c>
      <c r="D169" s="99" t="s">
        <v>359</v>
      </c>
      <c r="E169" s="140">
        <v>44621</v>
      </c>
      <c r="F169" s="268" t="s">
        <v>4433</v>
      </c>
      <c r="G169" s="96" t="s">
        <v>381</v>
      </c>
      <c r="H169" s="99" t="s">
        <v>1806</v>
      </c>
      <c r="I169" s="96" t="s">
        <v>146</v>
      </c>
      <c r="J169" s="133" t="s">
        <v>1807</v>
      </c>
      <c r="K169" s="341">
        <v>2315471332</v>
      </c>
      <c r="L169" s="138" t="s">
        <v>670</v>
      </c>
      <c r="M169" s="99" t="s">
        <v>1808</v>
      </c>
      <c r="N169" s="99"/>
      <c r="O169" s="99">
        <v>202202670</v>
      </c>
      <c r="P169" s="172">
        <v>2315471332</v>
      </c>
      <c r="Q169" s="96" t="s">
        <v>146</v>
      </c>
      <c r="R169" s="96" t="s">
        <v>146</v>
      </c>
      <c r="S169" s="96" t="s">
        <v>1560</v>
      </c>
      <c r="T169" s="111" t="s">
        <v>40</v>
      </c>
      <c r="U169" s="96" t="s">
        <v>206</v>
      </c>
      <c r="V169" s="97">
        <v>44622</v>
      </c>
      <c r="W169" s="166">
        <v>93</v>
      </c>
      <c r="X169" s="166">
        <v>92</v>
      </c>
      <c r="Y169" s="99" t="s">
        <v>1317</v>
      </c>
      <c r="Z169" s="96" t="s">
        <v>168</v>
      </c>
      <c r="AA169" s="96" t="s">
        <v>169</v>
      </c>
      <c r="AB169" s="96" t="s">
        <v>1809</v>
      </c>
      <c r="AC169" s="99"/>
      <c r="AD169" s="97">
        <v>44652</v>
      </c>
      <c r="AE169" s="362" t="s">
        <v>4435</v>
      </c>
      <c r="AF169" s="98"/>
      <c r="AG169" s="166">
        <v>31</v>
      </c>
      <c r="AH169" s="166">
        <v>30</v>
      </c>
      <c r="AI169" s="99" t="s">
        <v>146</v>
      </c>
      <c r="AJ169" s="96" t="s">
        <v>171</v>
      </c>
      <c r="AK169" s="99" t="s">
        <v>1810</v>
      </c>
      <c r="AL169" s="97">
        <v>44649</v>
      </c>
      <c r="AM169" s="211">
        <v>2315471332</v>
      </c>
      <c r="AN169" s="96" t="s">
        <v>1811</v>
      </c>
      <c r="AO169" s="96"/>
      <c r="AP169" s="181">
        <f t="shared" ref="AP169:AP171" si="61">+K169-AM169</f>
        <v>0</v>
      </c>
      <c r="AQ169" s="138"/>
      <c r="AR169" s="138"/>
      <c r="AS169" s="99" t="s">
        <v>146</v>
      </c>
      <c r="AT169" s="99" t="s">
        <v>146</v>
      </c>
      <c r="AU169" s="138"/>
      <c r="AV169" s="99" t="s">
        <v>174</v>
      </c>
      <c r="AW169" s="99" t="s">
        <v>175</v>
      </c>
      <c r="AX169" s="99"/>
      <c r="AY169" s="167">
        <f t="shared" ref="AY169:AY171" si="62">+AP169/K169</f>
        <v>0</v>
      </c>
      <c r="AZ169" s="139">
        <f t="shared" si="51"/>
        <v>0</v>
      </c>
      <c r="BA169" s="139">
        <f>IF(T169="Invitación Privada",1,IF(T169="Invitación Pública",2,0))</f>
        <v>2</v>
      </c>
      <c r="BB169" s="132">
        <f>IF(AA169="CONTRATADO",IF(BA169=1,NETWORKDAYS.INTL(E169,AD169,1,[1]FESTIVOS!$B$3:$B$10)-1,AD169-E169))-BD169</f>
        <v>31</v>
      </c>
      <c r="BC169" s="160"/>
      <c r="BD169" s="162">
        <v>0</v>
      </c>
      <c r="BE169" s="382" t="s">
        <v>2052</v>
      </c>
      <c r="BF169" s="76"/>
    </row>
    <row r="170" spans="2:58" ht="43.9" customHeight="1" x14ac:dyDescent="0.25">
      <c r="B170" s="100">
        <f t="shared" si="49"/>
        <v>152</v>
      </c>
      <c r="C170" s="110" t="s">
        <v>1346</v>
      </c>
      <c r="D170" s="99" t="s">
        <v>359</v>
      </c>
      <c r="E170" s="140">
        <v>44621</v>
      </c>
      <c r="F170" s="268" t="s">
        <v>4433</v>
      </c>
      <c r="G170" s="96" t="s">
        <v>1347</v>
      </c>
      <c r="H170" s="99" t="s">
        <v>1348</v>
      </c>
      <c r="I170" s="96" t="s">
        <v>146</v>
      </c>
      <c r="J170" s="133" t="s">
        <v>1349</v>
      </c>
      <c r="K170" s="341">
        <v>230000000</v>
      </c>
      <c r="L170" s="99" t="s">
        <v>328</v>
      </c>
      <c r="M170" s="99" t="s">
        <v>1350</v>
      </c>
      <c r="N170" s="99"/>
      <c r="O170" s="99">
        <v>202202786</v>
      </c>
      <c r="P170" s="172">
        <v>230000000</v>
      </c>
      <c r="Q170" s="96" t="s">
        <v>146</v>
      </c>
      <c r="R170" s="96" t="s">
        <v>146</v>
      </c>
      <c r="S170" s="96" t="s">
        <v>1561</v>
      </c>
      <c r="T170" s="111" t="s">
        <v>40</v>
      </c>
      <c r="U170" s="96" t="s">
        <v>206</v>
      </c>
      <c r="V170" s="97">
        <v>44630</v>
      </c>
      <c r="W170" s="166">
        <v>93</v>
      </c>
      <c r="X170" s="166">
        <v>84</v>
      </c>
      <c r="Y170" s="99" t="s">
        <v>1317</v>
      </c>
      <c r="Z170" s="96" t="s">
        <v>168</v>
      </c>
      <c r="AA170" s="96" t="s">
        <v>169</v>
      </c>
      <c r="AB170" s="96" t="s">
        <v>1812</v>
      </c>
      <c r="AC170" s="96"/>
      <c r="AD170" s="97">
        <v>44692</v>
      </c>
      <c r="AE170" s="362" t="s">
        <v>4435</v>
      </c>
      <c r="AF170" s="98"/>
      <c r="AG170" s="166">
        <v>71</v>
      </c>
      <c r="AH170" s="166">
        <v>62</v>
      </c>
      <c r="AI170" s="99" t="s">
        <v>146</v>
      </c>
      <c r="AJ170" s="96" t="s">
        <v>171</v>
      </c>
      <c r="AK170" s="99" t="s">
        <v>1813</v>
      </c>
      <c r="AL170" s="97">
        <v>44684</v>
      </c>
      <c r="AM170" s="211">
        <v>213409840</v>
      </c>
      <c r="AN170" s="96" t="s">
        <v>1814</v>
      </c>
      <c r="AO170" s="96"/>
      <c r="AP170" s="181">
        <f t="shared" si="61"/>
        <v>16590160</v>
      </c>
      <c r="AQ170" s="138"/>
      <c r="AR170" s="138"/>
      <c r="AS170" s="99" t="s">
        <v>146</v>
      </c>
      <c r="AT170" s="99" t="s">
        <v>146</v>
      </c>
      <c r="AU170" s="138"/>
      <c r="AV170" s="99" t="s">
        <v>174</v>
      </c>
      <c r="AW170" s="99" t="s">
        <v>175</v>
      </c>
      <c r="AX170" s="99"/>
      <c r="AY170" s="167">
        <f t="shared" si="62"/>
        <v>7.2131130434782614E-2</v>
      </c>
      <c r="AZ170" s="139">
        <f t="shared" si="51"/>
        <v>0</v>
      </c>
      <c r="BA170" s="139">
        <f>IF(T170="Invitación Privada",1,IF(T170="Invitación Pública",2,0))</f>
        <v>2</v>
      </c>
      <c r="BB170" s="132">
        <f>IF(AA170="CONTRATADO",IF(BA170=1,NETWORKDAYS.INTL(E170,AD170,1,[1]FESTIVOS!$B$3:$B$10)-1,AD170-E170))-BD170</f>
        <v>71</v>
      </c>
      <c r="BC170" s="160"/>
      <c r="BD170" s="162">
        <v>0</v>
      </c>
      <c r="BE170" s="382" t="s">
        <v>2052</v>
      </c>
      <c r="BF170" s="76"/>
    </row>
    <row r="171" spans="2:58" ht="43.9" customHeight="1" x14ac:dyDescent="0.25">
      <c r="B171" s="100">
        <f t="shared" si="49"/>
        <v>153</v>
      </c>
      <c r="C171" s="110" t="s">
        <v>1351</v>
      </c>
      <c r="D171" s="99" t="s">
        <v>28</v>
      </c>
      <c r="E171" s="140">
        <v>44621</v>
      </c>
      <c r="F171" s="268" t="s">
        <v>4433</v>
      </c>
      <c r="G171" s="96" t="s">
        <v>1352</v>
      </c>
      <c r="H171" s="96" t="s">
        <v>1353</v>
      </c>
      <c r="I171" s="96" t="s">
        <v>146</v>
      </c>
      <c r="J171" s="133" t="s">
        <v>3390</v>
      </c>
      <c r="K171" s="341">
        <v>304203270</v>
      </c>
      <c r="L171" s="96" t="s">
        <v>2326</v>
      </c>
      <c r="M171" s="99" t="s">
        <v>1354</v>
      </c>
      <c r="N171" s="99"/>
      <c r="O171" s="99" t="s">
        <v>1355</v>
      </c>
      <c r="P171" s="173"/>
      <c r="Q171" s="96" t="s">
        <v>146</v>
      </c>
      <c r="R171" s="96" t="s">
        <v>146</v>
      </c>
      <c r="S171" s="96" t="s">
        <v>1561</v>
      </c>
      <c r="T171" s="111" t="s">
        <v>40</v>
      </c>
      <c r="U171" s="96" t="s">
        <v>452</v>
      </c>
      <c r="V171" s="97">
        <v>44622</v>
      </c>
      <c r="W171" s="166" t="e">
        <f>+#REF!-E171</f>
        <v>#REF!</v>
      </c>
      <c r="X171" s="166" t="e">
        <f>#REF!-V171</f>
        <v>#REF!</v>
      </c>
      <c r="Y171" s="99" t="s">
        <v>1317</v>
      </c>
      <c r="Z171" s="96" t="s">
        <v>168</v>
      </c>
      <c r="AA171" s="96" t="s">
        <v>169</v>
      </c>
      <c r="AB171" s="96" t="s">
        <v>2339</v>
      </c>
      <c r="AC171" s="96"/>
      <c r="AD171" s="97">
        <v>44713</v>
      </c>
      <c r="AE171" s="183" t="s">
        <v>4436</v>
      </c>
      <c r="AF171" s="98"/>
      <c r="AG171" s="166">
        <f>+AD171-E171</f>
        <v>92</v>
      </c>
      <c r="AH171" s="166">
        <f>+AD171-V171</f>
        <v>91</v>
      </c>
      <c r="AI171" s="99" t="s">
        <v>146</v>
      </c>
      <c r="AJ171" s="96" t="s">
        <v>171</v>
      </c>
      <c r="AK171" s="99" t="s">
        <v>2340</v>
      </c>
      <c r="AL171" s="97">
        <v>44704</v>
      </c>
      <c r="AM171" s="211">
        <v>304121874</v>
      </c>
      <c r="AN171" s="96" t="s">
        <v>997</v>
      </c>
      <c r="AO171" s="99">
        <v>202205486</v>
      </c>
      <c r="AP171" s="181">
        <f t="shared" si="61"/>
        <v>81396</v>
      </c>
      <c r="AQ171" s="138"/>
      <c r="AR171" s="138"/>
      <c r="AS171" s="99"/>
      <c r="AT171" s="99"/>
      <c r="AU171" s="138"/>
      <c r="AV171" s="99" t="s">
        <v>1001</v>
      </c>
      <c r="AW171" s="99" t="s">
        <v>1002</v>
      </c>
      <c r="AX171" s="99"/>
      <c r="AY171" s="167">
        <f t="shared" si="62"/>
        <v>2.6757108823978124E-4</v>
      </c>
      <c r="AZ171" s="139">
        <f t="shared" si="51"/>
        <v>1</v>
      </c>
      <c r="BA171" s="139">
        <f>IF(T171="Invitación Privada",1,IF(T171="Invitación Pública",2,0))</f>
        <v>2</v>
      </c>
      <c r="BB171" s="132">
        <f>IF(AA171="CONTRATADO",IF(BA171=1,NETWORKDAYS.INTL(E171,AD171,1,[1]FESTIVOS!$B$3:$B$10)-1,AD171-E171))-BD171</f>
        <v>92</v>
      </c>
      <c r="BC171" s="156"/>
      <c r="BD171" s="162">
        <v>0</v>
      </c>
      <c r="BE171" s="382" t="s">
        <v>2052</v>
      </c>
      <c r="BF171" s="76"/>
    </row>
    <row r="172" spans="2:58" ht="43.9" customHeight="1" x14ac:dyDescent="0.25">
      <c r="B172" s="100">
        <f t="shared" si="49"/>
        <v>154</v>
      </c>
      <c r="C172" s="293" t="s">
        <v>1356</v>
      </c>
      <c r="D172" s="312" t="s">
        <v>32</v>
      </c>
      <c r="E172" s="272">
        <v>44623</v>
      </c>
      <c r="F172" s="268" t="s">
        <v>4433</v>
      </c>
      <c r="G172" s="269" t="s">
        <v>587</v>
      </c>
      <c r="H172" s="265" t="s">
        <v>588</v>
      </c>
      <c r="I172" s="265" t="s">
        <v>146</v>
      </c>
      <c r="J172" s="269" t="s">
        <v>589</v>
      </c>
      <c r="K172" s="342">
        <v>40712800</v>
      </c>
      <c r="L172" s="282"/>
      <c r="M172" s="265" t="s">
        <v>1564</v>
      </c>
      <c r="N172" s="302" t="str">
        <f>MID(M172,5,3)</f>
        <v>IPU</v>
      </c>
      <c r="O172" s="265">
        <v>202201683</v>
      </c>
      <c r="P172" s="271"/>
      <c r="Q172" s="265" t="s">
        <v>146</v>
      </c>
      <c r="R172" s="265" t="s">
        <v>146</v>
      </c>
      <c r="S172" s="265" t="s">
        <v>1561</v>
      </c>
      <c r="T172" s="111" t="s">
        <v>40</v>
      </c>
      <c r="U172" s="269" t="s">
        <v>1357</v>
      </c>
      <c r="V172" s="284">
        <v>44623</v>
      </c>
      <c r="W172" s="303" t="e">
        <f>+$D$4-E172</f>
        <v>#VALUE!</v>
      </c>
      <c r="X172" s="303" t="e">
        <f>$D$4-V172</f>
        <v>#VALUE!</v>
      </c>
      <c r="Y172" s="265" t="s">
        <v>1300</v>
      </c>
      <c r="Z172" s="265" t="s">
        <v>152</v>
      </c>
      <c r="AA172" s="265" t="s">
        <v>153</v>
      </c>
      <c r="AB172" s="265"/>
      <c r="AC172" s="304" t="s">
        <v>1565</v>
      </c>
      <c r="AD172" s="285">
        <v>44658</v>
      </c>
      <c r="AE172" s="285"/>
      <c r="AF172" s="305" t="str">
        <f>+IF(AD172="","",TEXT(AD172,"mmm"))</f>
        <v>abr</v>
      </c>
      <c r="AG172" s="306">
        <f>+AD172-E172</f>
        <v>35</v>
      </c>
      <c r="AH172" s="307">
        <f>+AD172-V172</f>
        <v>35</v>
      </c>
      <c r="AI172" s="265" t="s">
        <v>258</v>
      </c>
      <c r="AJ172" s="265" t="s">
        <v>171</v>
      </c>
      <c r="AK172" s="265"/>
      <c r="AL172" s="265"/>
      <c r="AM172" s="265"/>
      <c r="AN172" s="309"/>
      <c r="AO172" s="269"/>
      <c r="AP172" s="265"/>
      <c r="AQ172" s="309">
        <f>+K172-AN172</f>
        <v>40712800</v>
      </c>
      <c r="AR172" s="289"/>
      <c r="AS172" s="269"/>
      <c r="AT172" s="265"/>
      <c r="AU172" s="260"/>
      <c r="AV172" s="260"/>
      <c r="AW172" s="200"/>
      <c r="AX172" s="200"/>
      <c r="AY172" s="200"/>
      <c r="AZ172" s="139">
        <f t="shared" si="51"/>
        <v>1</v>
      </c>
      <c r="BA172" s="200"/>
      <c r="BB172" s="200"/>
      <c r="BC172" s="3"/>
      <c r="BD172" s="95"/>
      <c r="BE172" s="2"/>
    </row>
    <row r="173" spans="2:58" ht="43.9" customHeight="1" x14ac:dyDescent="0.25">
      <c r="B173" s="100">
        <f t="shared" si="49"/>
        <v>155</v>
      </c>
      <c r="C173" s="293" t="s">
        <v>1358</v>
      </c>
      <c r="D173" s="312" t="s">
        <v>32</v>
      </c>
      <c r="E173" s="272">
        <v>44623</v>
      </c>
      <c r="F173" s="268" t="s">
        <v>4433</v>
      </c>
      <c r="G173" s="269" t="s">
        <v>593</v>
      </c>
      <c r="H173" s="265" t="s">
        <v>594</v>
      </c>
      <c r="I173" s="265" t="s">
        <v>146</v>
      </c>
      <c r="J173" s="269" t="s">
        <v>1359</v>
      </c>
      <c r="K173" s="342">
        <v>62492850</v>
      </c>
      <c r="L173" s="282" t="s">
        <v>549</v>
      </c>
      <c r="M173" s="265" t="s">
        <v>1867</v>
      </c>
      <c r="N173" s="302" t="str">
        <f>MID(M173,5,3)</f>
        <v>IPU</v>
      </c>
      <c r="O173" s="265">
        <v>202201684</v>
      </c>
      <c r="P173" s="271"/>
      <c r="Q173" s="265" t="s">
        <v>146</v>
      </c>
      <c r="R173" s="265" t="s">
        <v>146</v>
      </c>
      <c r="S173" s="265" t="s">
        <v>1561</v>
      </c>
      <c r="T173" s="111" t="s">
        <v>40</v>
      </c>
      <c r="U173" s="269" t="s">
        <v>187</v>
      </c>
      <c r="V173" s="285">
        <v>44629</v>
      </c>
      <c r="W173" s="303" t="e">
        <f>+$D$4-E173</f>
        <v>#VALUE!</v>
      </c>
      <c r="X173" s="303" t="e">
        <f>$D$4-V173</f>
        <v>#VALUE!</v>
      </c>
      <c r="Y173" s="265" t="s">
        <v>1300</v>
      </c>
      <c r="Z173" s="265" t="s">
        <v>152</v>
      </c>
      <c r="AA173" s="265" t="s">
        <v>153</v>
      </c>
      <c r="AB173" s="265"/>
      <c r="AC173" s="304" t="s">
        <v>1868</v>
      </c>
      <c r="AD173" s="272">
        <v>44687</v>
      </c>
      <c r="AE173" s="265"/>
      <c r="AF173" s="305" t="str">
        <f>+IF(AD173="","",TEXT(AD173,"mmm"))</f>
        <v>may</v>
      </c>
      <c r="AG173" s="306">
        <f>+AD173-E173</f>
        <v>64</v>
      </c>
      <c r="AH173" s="307">
        <f>+AD173-V173</f>
        <v>58</v>
      </c>
      <c r="AI173" s="265"/>
      <c r="AJ173" s="265" t="s">
        <v>171</v>
      </c>
      <c r="AK173" s="265"/>
      <c r="AL173" s="265"/>
      <c r="AM173" s="265"/>
      <c r="AN173" s="309"/>
      <c r="AO173" s="269"/>
      <c r="AP173" s="265"/>
      <c r="AQ173" s="309">
        <f>+K173-AN173</f>
        <v>62492850</v>
      </c>
      <c r="AR173" s="289"/>
      <c r="AS173" s="269"/>
      <c r="AT173" s="265"/>
      <c r="AU173" s="260"/>
      <c r="AV173" s="260"/>
      <c r="AW173" s="200"/>
      <c r="AX173" s="200"/>
      <c r="AY173" s="200"/>
      <c r="AZ173" s="139">
        <f t="shared" si="51"/>
        <v>1</v>
      </c>
      <c r="BA173" s="200"/>
      <c r="BB173" s="200"/>
      <c r="BC173" s="3"/>
      <c r="BD173" s="95"/>
      <c r="BE173" s="2"/>
    </row>
    <row r="174" spans="2:58" ht="43.9" customHeight="1" x14ac:dyDescent="0.25">
      <c r="B174" s="100">
        <f t="shared" si="49"/>
        <v>156</v>
      </c>
      <c r="C174" s="293" t="s">
        <v>1360</v>
      </c>
      <c r="D174" s="312" t="s">
        <v>32</v>
      </c>
      <c r="E174" s="272">
        <v>44624</v>
      </c>
      <c r="F174" s="268" t="s">
        <v>4433</v>
      </c>
      <c r="G174" s="269" t="s">
        <v>819</v>
      </c>
      <c r="H174" s="265" t="s">
        <v>820</v>
      </c>
      <c r="I174" s="265" t="s">
        <v>146</v>
      </c>
      <c r="J174" s="269" t="s">
        <v>1361</v>
      </c>
      <c r="K174" s="342">
        <v>26610066</v>
      </c>
      <c r="L174" s="282"/>
      <c r="M174" s="265" t="s">
        <v>1362</v>
      </c>
      <c r="N174" s="302" t="str">
        <f>MID(M174,5,3)</f>
        <v>IPU</v>
      </c>
      <c r="O174" s="265">
        <v>202202106</v>
      </c>
      <c r="P174" s="271"/>
      <c r="Q174" s="265" t="s">
        <v>146</v>
      </c>
      <c r="R174" s="265" t="s">
        <v>146</v>
      </c>
      <c r="S174" s="265" t="s">
        <v>1561</v>
      </c>
      <c r="T174" s="111" t="s">
        <v>40</v>
      </c>
      <c r="U174" s="269" t="s">
        <v>1363</v>
      </c>
      <c r="V174" s="285">
        <v>44640</v>
      </c>
      <c r="W174" s="303" t="e">
        <f>+$D$4-E174</f>
        <v>#VALUE!</v>
      </c>
      <c r="X174" s="303" t="e">
        <f>$D$4-V174</f>
        <v>#VALUE!</v>
      </c>
      <c r="Y174" s="265" t="s">
        <v>1300</v>
      </c>
      <c r="Z174" s="265" t="s">
        <v>2055</v>
      </c>
      <c r="AA174" s="265" t="s">
        <v>153</v>
      </c>
      <c r="AB174" s="265"/>
      <c r="AC174" s="304" t="s">
        <v>1880</v>
      </c>
      <c r="AD174" s="272">
        <v>44688</v>
      </c>
      <c r="AE174" s="265"/>
      <c r="AF174" s="305" t="str">
        <f>+IF(AD174="","",TEXT(AD174,"mmm"))</f>
        <v>may</v>
      </c>
      <c r="AG174" s="306">
        <f>+AD174-E174</f>
        <v>64</v>
      </c>
      <c r="AH174" s="307">
        <f>+AD174-V174</f>
        <v>48</v>
      </c>
      <c r="AI174" s="265"/>
      <c r="AJ174" s="265" t="s">
        <v>171</v>
      </c>
      <c r="AK174" s="265"/>
      <c r="AL174" s="265"/>
      <c r="AM174" s="265"/>
      <c r="AN174" s="309"/>
      <c r="AO174" s="269"/>
      <c r="AP174" s="265"/>
      <c r="AQ174" s="309">
        <f>+K174-AN174</f>
        <v>26610066</v>
      </c>
      <c r="AR174" s="289"/>
      <c r="AS174" s="269"/>
      <c r="AT174" s="265"/>
      <c r="AU174" s="260"/>
      <c r="AV174" s="260"/>
      <c r="AW174" s="200"/>
      <c r="AX174" s="200"/>
      <c r="AY174" s="200"/>
      <c r="AZ174" s="139">
        <f t="shared" si="51"/>
        <v>1</v>
      </c>
      <c r="BA174" s="200"/>
      <c r="BB174" s="200"/>
      <c r="BC174" s="3"/>
      <c r="BD174" s="218"/>
      <c r="BE174" s="338"/>
    </row>
    <row r="175" spans="2:58" ht="43.9" customHeight="1" x14ac:dyDescent="0.25">
      <c r="B175" s="100">
        <f t="shared" si="49"/>
        <v>157</v>
      </c>
      <c r="C175" s="110" t="s">
        <v>1364</v>
      </c>
      <c r="D175" s="99" t="s">
        <v>28</v>
      </c>
      <c r="E175" s="142">
        <v>44628</v>
      </c>
      <c r="F175" s="268" t="s">
        <v>4433</v>
      </c>
      <c r="G175" s="96" t="s">
        <v>1365</v>
      </c>
      <c r="H175" s="99" t="s">
        <v>1366</v>
      </c>
      <c r="I175" s="96" t="s">
        <v>146</v>
      </c>
      <c r="J175" s="133" t="s">
        <v>1367</v>
      </c>
      <c r="K175" s="343">
        <v>380483205</v>
      </c>
      <c r="L175" s="96" t="s">
        <v>283</v>
      </c>
      <c r="M175" s="99" t="s">
        <v>1368</v>
      </c>
      <c r="N175" s="99"/>
      <c r="O175" s="99">
        <v>202202453</v>
      </c>
      <c r="P175" s="168">
        <v>380483205</v>
      </c>
      <c r="Q175" s="96" t="s">
        <v>146</v>
      </c>
      <c r="R175" s="96" t="s">
        <v>146</v>
      </c>
      <c r="S175" s="96" t="s">
        <v>1561</v>
      </c>
      <c r="T175" s="111" t="s">
        <v>40</v>
      </c>
      <c r="U175" s="111" t="s">
        <v>187</v>
      </c>
      <c r="V175" s="119">
        <v>44649</v>
      </c>
      <c r="W175" s="170">
        <v>190</v>
      </c>
      <c r="X175" s="170">
        <v>169</v>
      </c>
      <c r="Y175" s="99" t="s">
        <v>1755</v>
      </c>
      <c r="Z175" s="96" t="s">
        <v>168</v>
      </c>
      <c r="AA175" s="96" t="s">
        <v>169</v>
      </c>
      <c r="AB175" s="96" t="s">
        <v>3006</v>
      </c>
      <c r="AC175" s="96"/>
      <c r="AD175" s="97">
        <v>44781</v>
      </c>
      <c r="AE175" s="183" t="s">
        <v>4438</v>
      </c>
      <c r="AF175" s="171"/>
      <c r="AG175" s="170">
        <v>153</v>
      </c>
      <c r="AH175" s="144">
        <v>132</v>
      </c>
      <c r="AI175" s="99" t="s">
        <v>146</v>
      </c>
      <c r="AJ175" s="96" t="s">
        <v>155</v>
      </c>
      <c r="AK175" s="99" t="s">
        <v>3007</v>
      </c>
      <c r="AL175" s="97">
        <v>44757</v>
      </c>
      <c r="AM175" s="215">
        <v>376737827</v>
      </c>
      <c r="AN175" s="96" t="s">
        <v>3008</v>
      </c>
      <c r="AO175" s="99">
        <v>202207211</v>
      </c>
      <c r="AP175" s="181">
        <f t="shared" ref="AP175:AP178" si="63">+K175-AM175</f>
        <v>3745378</v>
      </c>
      <c r="AQ175" s="138"/>
      <c r="AR175" s="138"/>
      <c r="AS175" s="99"/>
      <c r="AT175" s="99"/>
      <c r="AU175" s="138"/>
      <c r="AV175" s="99" t="s">
        <v>174</v>
      </c>
      <c r="AW175" s="99" t="s">
        <v>175</v>
      </c>
      <c r="AX175" s="96" t="s">
        <v>2384</v>
      </c>
      <c r="AY175" s="167">
        <f t="shared" ref="AY175:AY178" si="64">+AP175/K175</f>
        <v>9.8437406718123073E-3</v>
      </c>
      <c r="AZ175" s="139">
        <f t="shared" si="51"/>
        <v>1</v>
      </c>
      <c r="BA175" s="139">
        <f>IF(T175="Invitación Privada",1,IF(T175="Invitación Pública",2,0))</f>
        <v>2</v>
      </c>
      <c r="BB175" s="132">
        <f>IF(AA175="CONTRATADO",IF(BA175=1,NETWORKDAYS.INTL(E175,AD175,1,[1]FESTIVOS!$B$3:$B$10)-1,AD175-E175))-BD175</f>
        <v>119</v>
      </c>
      <c r="BC175" s="156"/>
      <c r="BD175" s="162">
        <f>26+8</f>
        <v>34</v>
      </c>
      <c r="BE175" s="163" t="s">
        <v>3519</v>
      </c>
      <c r="BF175" s="76"/>
    </row>
    <row r="176" spans="2:58" ht="43.9" customHeight="1" x14ac:dyDescent="0.25">
      <c r="B176" s="100">
        <f t="shared" si="49"/>
        <v>158</v>
      </c>
      <c r="C176" s="110" t="s">
        <v>1369</v>
      </c>
      <c r="D176" s="99" t="s">
        <v>28</v>
      </c>
      <c r="E176" s="142">
        <v>44629</v>
      </c>
      <c r="F176" s="268" t="s">
        <v>4433</v>
      </c>
      <c r="G176" s="96" t="s">
        <v>1370</v>
      </c>
      <c r="H176" s="99" t="s">
        <v>1371</v>
      </c>
      <c r="I176" s="96" t="s">
        <v>146</v>
      </c>
      <c r="J176" s="133" t="s">
        <v>1372</v>
      </c>
      <c r="K176" s="343">
        <v>115331786</v>
      </c>
      <c r="L176" s="96" t="s">
        <v>3009</v>
      </c>
      <c r="M176" s="99" t="s">
        <v>1373</v>
      </c>
      <c r="N176" s="99"/>
      <c r="O176" s="99">
        <v>202202053</v>
      </c>
      <c r="P176" s="168">
        <v>115331786</v>
      </c>
      <c r="Q176" s="96" t="s">
        <v>146</v>
      </c>
      <c r="R176" s="96" t="s">
        <v>146</v>
      </c>
      <c r="S176" s="96" t="s">
        <v>1561</v>
      </c>
      <c r="T176" s="111" t="s">
        <v>40</v>
      </c>
      <c r="U176" s="96" t="s">
        <v>364</v>
      </c>
      <c r="V176" s="119">
        <v>44649</v>
      </c>
      <c r="W176" s="170">
        <v>189</v>
      </c>
      <c r="X176" s="170">
        <v>169</v>
      </c>
      <c r="Y176" s="99" t="s">
        <v>1317</v>
      </c>
      <c r="Z176" s="96" t="s">
        <v>168</v>
      </c>
      <c r="AA176" s="96" t="s">
        <v>169</v>
      </c>
      <c r="AB176" s="96" t="s">
        <v>3010</v>
      </c>
      <c r="AC176" s="96"/>
      <c r="AD176" s="119">
        <v>44774</v>
      </c>
      <c r="AE176" s="183" t="s">
        <v>4438</v>
      </c>
      <c r="AF176" s="171"/>
      <c r="AG176" s="170">
        <v>145</v>
      </c>
      <c r="AH176" s="144">
        <v>125</v>
      </c>
      <c r="AI176" s="99" t="s">
        <v>146</v>
      </c>
      <c r="AJ176" s="96" t="s">
        <v>171</v>
      </c>
      <c r="AK176" s="99" t="s">
        <v>3011</v>
      </c>
      <c r="AL176" s="97">
        <v>44761</v>
      </c>
      <c r="AM176" s="215">
        <v>109938905</v>
      </c>
      <c r="AN176" s="96" t="s">
        <v>3012</v>
      </c>
      <c r="AO176" s="99">
        <v>202207206</v>
      </c>
      <c r="AP176" s="181">
        <f t="shared" si="63"/>
        <v>5392881</v>
      </c>
      <c r="AQ176" s="138"/>
      <c r="AR176" s="138"/>
      <c r="AS176" s="99"/>
      <c r="AT176" s="99"/>
      <c r="AU176" s="138"/>
      <c r="AV176" s="99" t="s">
        <v>174</v>
      </c>
      <c r="AW176" s="99" t="s">
        <v>175</v>
      </c>
      <c r="AX176" s="96" t="s">
        <v>2382</v>
      </c>
      <c r="AY176" s="167">
        <f t="shared" si="64"/>
        <v>4.675971115196291E-2</v>
      </c>
      <c r="AZ176" s="139">
        <f t="shared" si="51"/>
        <v>1</v>
      </c>
      <c r="BA176" s="139">
        <f>IF(T176="Invitación Privada",1,IF(T176="Invitación Pública",2,0))</f>
        <v>2</v>
      </c>
      <c r="BB176" s="132">
        <f>IF(AA176="CONTRATADO",IF(BA176=1,NETWORKDAYS.INTL(E176,AD176,1,[1]FESTIVOS!$B$3:$B$10)-1,AD176-E176))-BD176</f>
        <v>138</v>
      </c>
      <c r="BC176" s="156"/>
      <c r="BD176" s="162">
        <v>7</v>
      </c>
      <c r="BE176" s="163" t="s">
        <v>3511</v>
      </c>
      <c r="BF176" s="76"/>
    </row>
    <row r="177" spans="2:58" ht="43.9" customHeight="1" x14ac:dyDescent="0.25">
      <c r="B177" s="100">
        <f t="shared" si="49"/>
        <v>159</v>
      </c>
      <c r="C177" s="110" t="s">
        <v>1374</v>
      </c>
      <c r="D177" s="99" t="s">
        <v>28</v>
      </c>
      <c r="E177" s="140">
        <v>44631</v>
      </c>
      <c r="F177" s="268" t="s">
        <v>4433</v>
      </c>
      <c r="G177" s="96" t="s">
        <v>1375</v>
      </c>
      <c r="H177" s="99" t="s">
        <v>1376</v>
      </c>
      <c r="I177" s="96" t="s">
        <v>1377</v>
      </c>
      <c r="J177" s="133" t="s">
        <v>1378</v>
      </c>
      <c r="K177" s="341">
        <v>108727408</v>
      </c>
      <c r="L177" s="96"/>
      <c r="M177" s="99" t="s">
        <v>146</v>
      </c>
      <c r="N177" s="99"/>
      <c r="O177" s="99">
        <v>202202570</v>
      </c>
      <c r="P177" s="173"/>
      <c r="Q177" s="96" t="s">
        <v>146</v>
      </c>
      <c r="R177" s="96" t="s">
        <v>146</v>
      </c>
      <c r="S177" s="111" t="s">
        <v>146</v>
      </c>
      <c r="T177" s="96" t="s">
        <v>230</v>
      </c>
      <c r="U177" s="96" t="s">
        <v>29</v>
      </c>
      <c r="V177" s="97">
        <v>44650</v>
      </c>
      <c r="W177" s="166" t="e">
        <f>+#REF!-E177</f>
        <v>#REF!</v>
      </c>
      <c r="X177" s="166" t="e">
        <f>#REF!-V177</f>
        <v>#REF!</v>
      </c>
      <c r="Y177" s="99" t="s">
        <v>1317</v>
      </c>
      <c r="Z177" s="96" t="s">
        <v>168</v>
      </c>
      <c r="AA177" s="96" t="s">
        <v>169</v>
      </c>
      <c r="AB177" s="96" t="s">
        <v>1881</v>
      </c>
      <c r="AC177" s="96"/>
      <c r="AD177" s="97">
        <v>44721</v>
      </c>
      <c r="AE177" s="183" t="s">
        <v>4436</v>
      </c>
      <c r="AF177" s="98"/>
      <c r="AG177" s="166">
        <f>+AD177-E177</f>
        <v>90</v>
      </c>
      <c r="AH177" s="166">
        <f>+AD177-V177</f>
        <v>71</v>
      </c>
      <c r="AI177" s="99" t="s">
        <v>146</v>
      </c>
      <c r="AJ177" s="96" t="s">
        <v>171</v>
      </c>
      <c r="AK177" s="96" t="s">
        <v>2341</v>
      </c>
      <c r="AL177" s="97">
        <v>44707</v>
      </c>
      <c r="AM177" s="165">
        <v>108727408</v>
      </c>
      <c r="AN177" s="96" t="s">
        <v>2324</v>
      </c>
      <c r="AO177" s="99">
        <v>202205626</v>
      </c>
      <c r="AP177" s="181">
        <f t="shared" si="63"/>
        <v>0</v>
      </c>
      <c r="AQ177" s="138"/>
      <c r="AR177" s="138"/>
      <c r="AS177" s="99"/>
      <c r="AT177" s="99"/>
      <c r="AU177" s="138"/>
      <c r="AV177" s="99" t="s">
        <v>174</v>
      </c>
      <c r="AW177" s="99" t="s">
        <v>175</v>
      </c>
      <c r="AX177" s="99"/>
      <c r="AY177" s="167">
        <f t="shared" si="64"/>
        <v>0</v>
      </c>
      <c r="AZ177" s="139">
        <f t="shared" si="51"/>
        <v>1</v>
      </c>
      <c r="BA177" s="139">
        <f>IF(T177="Invitación Privada",1,IF(T177="Invitación Pública",2,0))</f>
        <v>0</v>
      </c>
      <c r="BB177" s="132">
        <f>IF(AA177="CONTRATADO",IF(BA177=1,NETWORKDAYS.INTL(E177,AD177,1,[1]FESTIVOS!$B$3:$B$10)-1,AD177-E177))-BD177</f>
        <v>90</v>
      </c>
      <c r="BC177" s="156"/>
      <c r="BD177" s="162"/>
      <c r="BE177" s="163"/>
    </row>
    <row r="178" spans="2:58" ht="43.9" customHeight="1" x14ac:dyDescent="0.25">
      <c r="B178" s="100">
        <f t="shared" si="49"/>
        <v>160</v>
      </c>
      <c r="C178" s="110" t="s">
        <v>1379</v>
      </c>
      <c r="D178" s="99" t="s">
        <v>28</v>
      </c>
      <c r="E178" s="142">
        <v>44631</v>
      </c>
      <c r="F178" s="268" t="s">
        <v>4433</v>
      </c>
      <c r="G178" s="96" t="s">
        <v>1380</v>
      </c>
      <c r="H178" s="99" t="s">
        <v>1381</v>
      </c>
      <c r="I178" s="96" t="s">
        <v>146</v>
      </c>
      <c r="J178" s="133" t="s">
        <v>1382</v>
      </c>
      <c r="K178" s="343">
        <v>299958071</v>
      </c>
      <c r="L178" s="96" t="s">
        <v>3062</v>
      </c>
      <c r="M178" s="99" t="s">
        <v>1581</v>
      </c>
      <c r="N178" s="99"/>
      <c r="O178" s="99">
        <v>202201833</v>
      </c>
      <c r="P178" s="169">
        <v>300000000</v>
      </c>
      <c r="Q178" s="96" t="s">
        <v>146</v>
      </c>
      <c r="R178" s="96" t="s">
        <v>146</v>
      </c>
      <c r="S178" s="96" t="s">
        <v>1561</v>
      </c>
      <c r="T178" s="111" t="s">
        <v>40</v>
      </c>
      <c r="U178" s="111" t="s">
        <v>187</v>
      </c>
      <c r="V178" s="119">
        <v>44649</v>
      </c>
      <c r="W178" s="170">
        <f>+$D$2-E178</f>
        <v>-44631</v>
      </c>
      <c r="X178" s="170">
        <f>$D$2-V178</f>
        <v>-44649</v>
      </c>
      <c r="Y178" s="99" t="s">
        <v>1317</v>
      </c>
      <c r="Z178" s="96" t="s">
        <v>168</v>
      </c>
      <c r="AA178" s="96" t="s">
        <v>169</v>
      </c>
      <c r="AB178" s="96" t="s">
        <v>3063</v>
      </c>
      <c r="AC178" s="96"/>
      <c r="AD178" s="119">
        <v>44769</v>
      </c>
      <c r="AE178" s="183" t="s">
        <v>4437</v>
      </c>
      <c r="AF178" s="171"/>
      <c r="AG178" s="170">
        <f>+AD178-E178</f>
        <v>138</v>
      </c>
      <c r="AH178" s="144">
        <f>+AD178-V178</f>
        <v>120</v>
      </c>
      <c r="AI178" s="99" t="s">
        <v>146</v>
      </c>
      <c r="AJ178" s="96" t="s">
        <v>171</v>
      </c>
      <c r="AK178" s="99" t="s">
        <v>3064</v>
      </c>
      <c r="AL178" s="97">
        <v>44757</v>
      </c>
      <c r="AM178" s="211">
        <v>299906870</v>
      </c>
      <c r="AN178" s="96" t="s">
        <v>3065</v>
      </c>
      <c r="AO178" s="99">
        <v>202207213</v>
      </c>
      <c r="AP178" s="181">
        <f t="shared" si="63"/>
        <v>51201</v>
      </c>
      <c r="AQ178" s="138"/>
      <c r="AR178" s="138"/>
      <c r="AS178" s="99"/>
      <c r="AT178" s="99"/>
      <c r="AU178" s="138"/>
      <c r="AV178" s="96" t="s">
        <v>1000</v>
      </c>
      <c r="AW178" s="99" t="s">
        <v>692</v>
      </c>
      <c r="AX178" s="96" t="s">
        <v>2382</v>
      </c>
      <c r="AY178" s="167">
        <f t="shared" si="64"/>
        <v>1.7069385674239784E-4</v>
      </c>
      <c r="AZ178" s="139">
        <f t="shared" si="51"/>
        <v>1</v>
      </c>
      <c r="BA178" s="139">
        <f>IF(T178="Invitación Privada",1,IF(T178="Invitación Pública",2,0))</f>
        <v>2</v>
      </c>
      <c r="BB178" s="132">
        <f>IF(AA178="CONTRATADO",IF(BA178=1,NETWORKDAYS.INTL(E178,AD178,1,[1]FESTIVOS!$B$3:$B$10)-1,AD178-E178))-BD178</f>
        <v>103</v>
      </c>
      <c r="BC178" s="261"/>
      <c r="BD178" s="162">
        <v>35</v>
      </c>
      <c r="BE178" s="163" t="s">
        <v>3157</v>
      </c>
      <c r="BF178" s="76"/>
    </row>
    <row r="179" spans="2:58" ht="43.9" customHeight="1" x14ac:dyDescent="0.25">
      <c r="B179" s="100">
        <f t="shared" si="49"/>
        <v>161</v>
      </c>
      <c r="C179" s="293" t="s">
        <v>1383</v>
      </c>
      <c r="D179" s="265" t="s">
        <v>28</v>
      </c>
      <c r="E179" s="272">
        <v>44631</v>
      </c>
      <c r="F179" s="268" t="s">
        <v>4433</v>
      </c>
      <c r="G179" s="269" t="s">
        <v>1384</v>
      </c>
      <c r="H179" s="265" t="s">
        <v>1385</v>
      </c>
      <c r="I179" s="265" t="s">
        <v>146</v>
      </c>
      <c r="J179" s="269" t="s">
        <v>1386</v>
      </c>
      <c r="K179" s="342">
        <v>52771303</v>
      </c>
      <c r="L179" s="282"/>
      <c r="M179" s="265" t="s">
        <v>1387</v>
      </c>
      <c r="N179" s="302" t="str">
        <f>MID(M179,5,3)</f>
        <v>IPU</v>
      </c>
      <c r="O179" s="265">
        <v>202201835</v>
      </c>
      <c r="P179" s="271"/>
      <c r="Q179" s="265" t="s">
        <v>146</v>
      </c>
      <c r="R179" s="265" t="s">
        <v>146</v>
      </c>
      <c r="S179" s="265" t="s">
        <v>1561</v>
      </c>
      <c r="T179" s="111" t="s">
        <v>40</v>
      </c>
      <c r="U179" s="269" t="s">
        <v>503</v>
      </c>
      <c r="V179" s="285">
        <v>44644</v>
      </c>
      <c r="W179" s="303" t="e">
        <f>+$D$4-E179</f>
        <v>#VALUE!</v>
      </c>
      <c r="X179" s="303" t="e">
        <f>$D$4-V179</f>
        <v>#VALUE!</v>
      </c>
      <c r="Y179" s="265" t="s">
        <v>1300</v>
      </c>
      <c r="Z179" s="265" t="s">
        <v>152</v>
      </c>
      <c r="AA179" s="265" t="s">
        <v>153</v>
      </c>
      <c r="AB179" s="265"/>
      <c r="AC179" s="304" t="s">
        <v>2056</v>
      </c>
      <c r="AD179" s="272">
        <v>44742</v>
      </c>
      <c r="AE179" s="265"/>
      <c r="AF179" s="305" t="str">
        <f>+IF(AD179="","",TEXT(AD179,"mmm"))</f>
        <v>jun</v>
      </c>
      <c r="AG179" s="306">
        <f>+AD179-E179</f>
        <v>111</v>
      </c>
      <c r="AH179" s="307">
        <f>+AD179-V179</f>
        <v>98</v>
      </c>
      <c r="AI179" s="265"/>
      <c r="AJ179" s="265" t="s">
        <v>171</v>
      </c>
      <c r="AK179" s="265"/>
      <c r="AL179" s="265"/>
      <c r="AM179" s="265"/>
      <c r="AN179" s="309"/>
      <c r="AO179" s="269"/>
      <c r="AP179" s="265"/>
      <c r="AQ179" s="309" t="e">
        <f>+I179-AN179</f>
        <v>#VALUE!</v>
      </c>
      <c r="AR179" s="289"/>
      <c r="AS179" s="269"/>
      <c r="AT179" s="265"/>
      <c r="AU179" s="260"/>
      <c r="AV179" s="260"/>
      <c r="AW179" s="200"/>
      <c r="AX179" s="200"/>
      <c r="AY179" s="200"/>
      <c r="AZ179" s="139">
        <f t="shared" si="51"/>
        <v>1</v>
      </c>
      <c r="BA179" s="200"/>
      <c r="BB179" s="200"/>
      <c r="BC179" s="3"/>
      <c r="BD179" s="95"/>
      <c r="BE179" s="2"/>
    </row>
    <row r="180" spans="2:58" ht="43.9" customHeight="1" x14ac:dyDescent="0.25">
      <c r="B180" s="100">
        <f t="shared" si="49"/>
        <v>162</v>
      </c>
      <c r="C180" s="293" t="s">
        <v>1322</v>
      </c>
      <c r="D180" s="265" t="s">
        <v>28</v>
      </c>
      <c r="E180" s="272">
        <v>44634</v>
      </c>
      <c r="F180" s="268" t="s">
        <v>4433</v>
      </c>
      <c r="G180" s="269" t="s">
        <v>1323</v>
      </c>
      <c r="H180" s="265" t="s">
        <v>1324</v>
      </c>
      <c r="I180" s="265" t="s">
        <v>146</v>
      </c>
      <c r="J180" s="269" t="s">
        <v>1325</v>
      </c>
      <c r="K180" s="342">
        <v>1907999706</v>
      </c>
      <c r="L180" s="282"/>
      <c r="M180" s="265" t="s">
        <v>1566</v>
      </c>
      <c r="N180" s="302" t="str">
        <f>MID(M180,5,3)</f>
        <v>IPU</v>
      </c>
      <c r="O180" s="265">
        <v>202202568</v>
      </c>
      <c r="P180" s="271"/>
      <c r="Q180" s="265" t="s">
        <v>146</v>
      </c>
      <c r="R180" s="265" t="s">
        <v>146</v>
      </c>
      <c r="S180" s="265" t="s">
        <v>1560</v>
      </c>
      <c r="T180" s="111" t="s">
        <v>40</v>
      </c>
      <c r="U180" s="269" t="s">
        <v>1326</v>
      </c>
      <c r="V180" s="265"/>
      <c r="W180" s="303" t="e">
        <f>+$D$4-E180</f>
        <v>#VALUE!</v>
      </c>
      <c r="X180" s="303" t="e">
        <f>$D$4-V180</f>
        <v>#VALUE!</v>
      </c>
      <c r="Y180" s="265" t="s">
        <v>1300</v>
      </c>
      <c r="Z180" s="265" t="s">
        <v>214</v>
      </c>
      <c r="AA180" s="265" t="s">
        <v>215</v>
      </c>
      <c r="AB180" s="265"/>
      <c r="AC180" s="304" t="s">
        <v>1567</v>
      </c>
      <c r="AD180" s="272">
        <v>44643</v>
      </c>
      <c r="AE180" s="265"/>
      <c r="AF180" s="305" t="str">
        <f>+IF(AD180="","",TEXT(AD180,"mmm"))</f>
        <v>mar</v>
      </c>
      <c r="AG180" s="306">
        <f>+AD180-E180</f>
        <v>9</v>
      </c>
      <c r="AH180" s="307">
        <f>+AD180-V180</f>
        <v>44643</v>
      </c>
      <c r="AI180" s="265"/>
      <c r="AJ180" s="265" t="s">
        <v>155</v>
      </c>
      <c r="AK180" s="265"/>
      <c r="AL180" s="265"/>
      <c r="AM180" s="309"/>
      <c r="AN180" s="269"/>
      <c r="AO180" s="265"/>
      <c r="AP180" s="309" t="e">
        <f>+I180-AM180</f>
        <v>#VALUE!</v>
      </c>
      <c r="AQ180" s="289"/>
      <c r="AR180" s="269"/>
      <c r="AS180" s="265"/>
      <c r="AT180" s="260"/>
      <c r="AU180" s="260"/>
      <c r="AV180" s="200"/>
      <c r="AW180" s="200"/>
      <c r="AX180" s="200"/>
      <c r="AY180" s="200"/>
      <c r="AZ180" s="139">
        <f t="shared" si="51"/>
        <v>1</v>
      </c>
      <c r="BA180" s="200"/>
      <c r="BB180" s="203"/>
      <c r="BC180" s="95"/>
      <c r="BD180" s="2"/>
      <c r="BE180" s="2"/>
    </row>
    <row r="181" spans="2:58" ht="43.9" customHeight="1" x14ac:dyDescent="0.25">
      <c r="B181" s="100">
        <f t="shared" si="49"/>
        <v>163</v>
      </c>
      <c r="C181" s="110" t="s">
        <v>1388</v>
      </c>
      <c r="D181" s="99" t="s">
        <v>28</v>
      </c>
      <c r="E181" s="142">
        <v>44634</v>
      </c>
      <c r="F181" s="268" t="s">
        <v>4433</v>
      </c>
      <c r="G181" s="96" t="s">
        <v>1389</v>
      </c>
      <c r="H181" s="99" t="s">
        <v>1390</v>
      </c>
      <c r="I181" s="96" t="s">
        <v>146</v>
      </c>
      <c r="J181" s="133" t="s">
        <v>1391</v>
      </c>
      <c r="K181" s="343">
        <v>799299200</v>
      </c>
      <c r="L181" s="96" t="s">
        <v>3062</v>
      </c>
      <c r="M181" s="99" t="s">
        <v>1582</v>
      </c>
      <c r="N181" s="99"/>
      <c r="O181" s="99">
        <v>202201831</v>
      </c>
      <c r="P181" s="169"/>
      <c r="Q181" s="96" t="s">
        <v>146</v>
      </c>
      <c r="R181" s="96" t="s">
        <v>146</v>
      </c>
      <c r="S181" s="96" t="s">
        <v>1560</v>
      </c>
      <c r="T181" s="111" t="s">
        <v>40</v>
      </c>
      <c r="U181" s="111" t="s">
        <v>187</v>
      </c>
      <c r="V181" s="119">
        <v>44649</v>
      </c>
      <c r="W181" s="170">
        <v>184</v>
      </c>
      <c r="X181" s="170">
        <v>169</v>
      </c>
      <c r="Y181" s="99" t="s">
        <v>1317</v>
      </c>
      <c r="Z181" s="96" t="s">
        <v>168</v>
      </c>
      <c r="AA181" s="96" t="s">
        <v>169</v>
      </c>
      <c r="AB181" s="96" t="s">
        <v>2434</v>
      </c>
      <c r="AC181" s="96"/>
      <c r="AD181" s="97">
        <v>44797</v>
      </c>
      <c r="AE181" s="183" t="s">
        <v>4438</v>
      </c>
      <c r="AF181" s="171"/>
      <c r="AG181" s="170">
        <v>163</v>
      </c>
      <c r="AH181" s="144">
        <v>148</v>
      </c>
      <c r="AI181" s="99" t="s">
        <v>146</v>
      </c>
      <c r="AJ181" s="96" t="s">
        <v>171</v>
      </c>
      <c r="AK181" s="99" t="s">
        <v>3396</v>
      </c>
      <c r="AL181" s="97">
        <v>44764</v>
      </c>
      <c r="AM181" s="211">
        <v>794168337</v>
      </c>
      <c r="AN181" s="96" t="s">
        <v>3397</v>
      </c>
      <c r="AO181" s="99">
        <v>202207840</v>
      </c>
      <c r="AP181" s="181">
        <f t="shared" ref="AP181" si="65">+K181-AM181</f>
        <v>5130863</v>
      </c>
      <c r="AQ181" s="138"/>
      <c r="AR181" s="138"/>
      <c r="AS181" s="99"/>
      <c r="AT181" s="99"/>
      <c r="AU181" s="138"/>
      <c r="AV181" s="99" t="s">
        <v>174</v>
      </c>
      <c r="AW181" s="99" t="s">
        <v>175</v>
      </c>
      <c r="AX181" s="96" t="s">
        <v>2382</v>
      </c>
      <c r="AY181" s="167">
        <f>+AP181/K181</f>
        <v>6.4192019709265313E-3</v>
      </c>
      <c r="AZ181" s="139">
        <f t="shared" si="51"/>
        <v>1</v>
      </c>
      <c r="BA181" s="139">
        <f>IF(T181="Invitación Privada",1,IF(T181="Invitación Pública",2,0))</f>
        <v>2</v>
      </c>
      <c r="BB181" s="132">
        <f>IF(AA181="CONTRATADO",IF(BA181=1,NETWORKDAYS.INTL(E181,AD181,1,[1]FESTIVOS!$B$3:$B$10)-1,AD181-E181))-BD181</f>
        <v>129</v>
      </c>
      <c r="BC181" s="156"/>
      <c r="BD181" s="162">
        <f>26+8</f>
        <v>34</v>
      </c>
      <c r="BE181" s="163" t="s">
        <v>3519</v>
      </c>
      <c r="BF181" s="76"/>
    </row>
    <row r="182" spans="2:58" ht="43.9" customHeight="1" x14ac:dyDescent="0.25">
      <c r="B182" s="100">
        <f t="shared" si="49"/>
        <v>164</v>
      </c>
      <c r="C182" s="293" t="s">
        <v>1392</v>
      </c>
      <c r="D182" s="265" t="s">
        <v>28</v>
      </c>
      <c r="E182" s="272">
        <v>44634</v>
      </c>
      <c r="F182" s="268" t="s">
        <v>4433</v>
      </c>
      <c r="G182" s="269" t="s">
        <v>1393</v>
      </c>
      <c r="H182" s="265" t="s">
        <v>1394</v>
      </c>
      <c r="I182" s="265" t="s">
        <v>146</v>
      </c>
      <c r="J182" s="269" t="s">
        <v>1395</v>
      </c>
      <c r="K182" s="342">
        <v>207605670</v>
      </c>
      <c r="L182" s="282"/>
      <c r="M182" s="265" t="s">
        <v>1583</v>
      </c>
      <c r="N182" s="302" t="str">
        <f>MID(M182,5,3)</f>
        <v>IPU</v>
      </c>
      <c r="O182" s="265">
        <v>202202669</v>
      </c>
      <c r="P182" s="271"/>
      <c r="Q182" s="265" t="s">
        <v>146</v>
      </c>
      <c r="R182" s="265" t="s">
        <v>146</v>
      </c>
      <c r="S182" s="265" t="s">
        <v>1561</v>
      </c>
      <c r="T182" s="111" t="s">
        <v>40</v>
      </c>
      <c r="U182" s="269" t="s">
        <v>503</v>
      </c>
      <c r="V182" s="285">
        <v>44649</v>
      </c>
      <c r="W182" s="303" t="e">
        <f>+$D$4-E182</f>
        <v>#VALUE!</v>
      </c>
      <c r="X182" s="303" t="e">
        <f>$D$4-V182</f>
        <v>#VALUE!</v>
      </c>
      <c r="Y182" s="265" t="s">
        <v>1300</v>
      </c>
      <c r="Z182" s="265" t="s">
        <v>2055</v>
      </c>
      <c r="AA182" s="265" t="s">
        <v>153</v>
      </c>
      <c r="AB182" s="265"/>
      <c r="AC182" s="304" t="s">
        <v>2057</v>
      </c>
      <c r="AD182" s="272">
        <v>44720</v>
      </c>
      <c r="AE182" s="265"/>
      <c r="AF182" s="305" t="str">
        <f>+IF(AD182="","",TEXT(AD182,"mmm"))</f>
        <v>jun</v>
      </c>
      <c r="AG182" s="306">
        <f>+AD182-E182</f>
        <v>86</v>
      </c>
      <c r="AH182" s="307">
        <f>+AD182-V182</f>
        <v>71</v>
      </c>
      <c r="AI182" s="265"/>
      <c r="AJ182" s="265" t="s">
        <v>155</v>
      </c>
      <c r="AK182" s="265"/>
      <c r="AL182" s="265"/>
      <c r="AM182" s="265"/>
      <c r="AN182" s="309"/>
      <c r="AO182" s="269"/>
      <c r="AP182" s="265"/>
      <c r="AQ182" s="309" t="e">
        <f>+I182-AN182</f>
        <v>#VALUE!</v>
      </c>
      <c r="AR182" s="289"/>
      <c r="AS182" s="269"/>
      <c r="AT182" s="265"/>
      <c r="AU182" s="260"/>
      <c r="AV182" s="260"/>
      <c r="AW182" s="200"/>
      <c r="AX182" s="200"/>
      <c r="AY182" s="200"/>
      <c r="AZ182" s="139">
        <f t="shared" si="51"/>
        <v>1</v>
      </c>
      <c r="BA182" s="200"/>
      <c r="BB182" s="200"/>
      <c r="BC182" s="3"/>
      <c r="BD182" s="95"/>
      <c r="BE182" s="2"/>
    </row>
    <row r="183" spans="2:58" ht="43.9" customHeight="1" x14ac:dyDescent="0.25">
      <c r="B183" s="100">
        <f t="shared" si="49"/>
        <v>165</v>
      </c>
      <c r="C183" s="110" t="s">
        <v>1815</v>
      </c>
      <c r="D183" s="99" t="s">
        <v>28</v>
      </c>
      <c r="E183" s="140">
        <v>44635</v>
      </c>
      <c r="F183" s="268" t="s">
        <v>4433</v>
      </c>
      <c r="G183" s="96" t="s">
        <v>1816</v>
      </c>
      <c r="H183" s="99" t="s">
        <v>1817</v>
      </c>
      <c r="I183" s="96" t="s">
        <v>636</v>
      </c>
      <c r="J183" s="133" t="s">
        <v>1818</v>
      </c>
      <c r="K183" s="341">
        <v>1451921415</v>
      </c>
      <c r="L183" s="99" t="s">
        <v>549</v>
      </c>
      <c r="M183" s="99" t="s">
        <v>146</v>
      </c>
      <c r="N183" s="99"/>
      <c r="O183" s="99">
        <v>202202688</v>
      </c>
      <c r="P183" s="173">
        <v>11870525408</v>
      </c>
      <c r="Q183" s="96" t="s">
        <v>146</v>
      </c>
      <c r="R183" s="96" t="s">
        <v>146</v>
      </c>
      <c r="S183" s="111" t="s">
        <v>146</v>
      </c>
      <c r="T183" s="96" t="s">
        <v>230</v>
      </c>
      <c r="U183" s="96" t="s">
        <v>29</v>
      </c>
      <c r="V183" s="97">
        <v>44635</v>
      </c>
      <c r="W183" s="166">
        <v>79</v>
      </c>
      <c r="X183" s="166">
        <v>79</v>
      </c>
      <c r="Y183" s="99" t="s">
        <v>1317</v>
      </c>
      <c r="Z183" s="96" t="s">
        <v>168</v>
      </c>
      <c r="AA183" s="96" t="s">
        <v>169</v>
      </c>
      <c r="AB183" s="96" t="s">
        <v>1819</v>
      </c>
      <c r="AC183" s="99"/>
      <c r="AD183" s="97">
        <v>44658</v>
      </c>
      <c r="AE183" s="362" t="s">
        <v>4435</v>
      </c>
      <c r="AF183" s="98"/>
      <c r="AG183" s="166">
        <v>23</v>
      </c>
      <c r="AH183" s="166">
        <v>23</v>
      </c>
      <c r="AI183" s="99" t="s">
        <v>146</v>
      </c>
      <c r="AJ183" s="96" t="s">
        <v>171</v>
      </c>
      <c r="AK183" s="96" t="s">
        <v>1820</v>
      </c>
      <c r="AL183" s="97">
        <v>44649</v>
      </c>
      <c r="AM183" s="211">
        <v>1451111417</v>
      </c>
      <c r="AN183" s="96" t="s">
        <v>1071</v>
      </c>
      <c r="AO183" s="96"/>
      <c r="AP183" s="181">
        <f t="shared" ref="AP183:AP187" si="66">+K183-AM183</f>
        <v>809998</v>
      </c>
      <c r="AQ183" s="138"/>
      <c r="AR183" s="138"/>
      <c r="AS183" s="99" t="s">
        <v>1821</v>
      </c>
      <c r="AT183" s="97">
        <v>44628</v>
      </c>
      <c r="AU183" s="138"/>
      <c r="AV183" s="99" t="s">
        <v>1001</v>
      </c>
      <c r="AW183" s="99" t="s">
        <v>1002</v>
      </c>
      <c r="AX183" s="99"/>
      <c r="AY183" s="167">
        <f t="shared" ref="AY183:AY187" si="67">+AP183/K183</f>
        <v>5.5788005578800558E-4</v>
      </c>
      <c r="AZ183" s="139">
        <f t="shared" si="51"/>
        <v>1</v>
      </c>
      <c r="BA183" s="139">
        <f>IF(T183="Invitación Privada",1,IF(T183="Invitación Pública",2,0))</f>
        <v>0</v>
      </c>
      <c r="BB183" s="132">
        <f>IF(AA183="CONTRATADO",IF(BA183=1,NETWORKDAYS.INTL(E183,AD183,1,[1]FESTIVOS!$B$3:$B$10)-1,AD183-E183))-BD183</f>
        <v>23</v>
      </c>
      <c r="BC183" s="156"/>
      <c r="BD183" s="162">
        <v>0</v>
      </c>
      <c r="BE183" s="382" t="s">
        <v>2052</v>
      </c>
    </row>
    <row r="184" spans="2:58" ht="43.9" customHeight="1" x14ac:dyDescent="0.25">
      <c r="B184" s="100">
        <f t="shared" si="49"/>
        <v>166</v>
      </c>
      <c r="C184" s="131" t="s">
        <v>1822</v>
      </c>
      <c r="D184" s="99" t="s">
        <v>28</v>
      </c>
      <c r="E184" s="137">
        <v>44635</v>
      </c>
      <c r="F184" s="268" t="s">
        <v>4433</v>
      </c>
      <c r="G184" s="99" t="s">
        <v>1823</v>
      </c>
      <c r="H184" s="99" t="s">
        <v>1824</v>
      </c>
      <c r="I184" s="99" t="s">
        <v>656</v>
      </c>
      <c r="J184" s="133" t="s">
        <v>1825</v>
      </c>
      <c r="K184" s="348">
        <v>1010081985</v>
      </c>
      <c r="L184" s="99" t="s">
        <v>549</v>
      </c>
      <c r="M184" s="99" t="s">
        <v>146</v>
      </c>
      <c r="N184" s="99"/>
      <c r="O184" s="99">
        <v>202202688</v>
      </c>
      <c r="P184" s="173">
        <v>1166236926</v>
      </c>
      <c r="Q184" s="99" t="s">
        <v>146</v>
      </c>
      <c r="R184" s="99" t="s">
        <v>146</v>
      </c>
      <c r="S184" s="148" t="s">
        <v>146</v>
      </c>
      <c r="T184" s="96" t="s">
        <v>230</v>
      </c>
      <c r="U184" s="96" t="s">
        <v>29</v>
      </c>
      <c r="V184" s="97">
        <v>44635</v>
      </c>
      <c r="W184" s="174">
        <v>79</v>
      </c>
      <c r="X184" s="174">
        <v>79</v>
      </c>
      <c r="Y184" s="99" t="s">
        <v>1317</v>
      </c>
      <c r="Z184" s="96" t="s">
        <v>168</v>
      </c>
      <c r="AA184" s="99" t="s">
        <v>169</v>
      </c>
      <c r="AB184" s="96" t="s">
        <v>1826</v>
      </c>
      <c r="AC184" s="99"/>
      <c r="AD184" s="97">
        <v>44671</v>
      </c>
      <c r="AE184" s="362" t="s">
        <v>4435</v>
      </c>
      <c r="AF184" s="98"/>
      <c r="AG184" s="166">
        <v>36</v>
      </c>
      <c r="AH184" s="166">
        <v>36</v>
      </c>
      <c r="AI184" s="99" t="s">
        <v>146</v>
      </c>
      <c r="AJ184" s="96" t="s">
        <v>171</v>
      </c>
      <c r="AK184" s="96" t="s">
        <v>1827</v>
      </c>
      <c r="AL184" s="97">
        <v>44658</v>
      </c>
      <c r="AM184" s="211">
        <v>980029959</v>
      </c>
      <c r="AN184" s="96" t="s">
        <v>1071</v>
      </c>
      <c r="AO184" s="96"/>
      <c r="AP184" s="181">
        <f t="shared" si="66"/>
        <v>30052026</v>
      </c>
      <c r="AQ184" s="138"/>
      <c r="AR184" s="138"/>
      <c r="AS184" s="99" t="s">
        <v>1828</v>
      </c>
      <c r="AT184" s="97">
        <v>44628</v>
      </c>
      <c r="AU184" s="138"/>
      <c r="AV184" s="99" t="s">
        <v>1001</v>
      </c>
      <c r="AW184" s="99" t="s">
        <v>1002</v>
      </c>
      <c r="AX184" s="99"/>
      <c r="AY184" s="167">
        <f t="shared" si="67"/>
        <v>2.9752066115702479E-2</v>
      </c>
      <c r="AZ184" s="139">
        <f t="shared" si="51"/>
        <v>1</v>
      </c>
      <c r="BA184" s="139">
        <f>IF(T184="Invitación Privada",1,IF(T184="Invitación Pública",2,0))</f>
        <v>0</v>
      </c>
      <c r="BB184" s="132">
        <f>IF(AA184="CONTRATADO",IF(BA184=1,NETWORKDAYS.INTL(E184,AD184,1,[1]FESTIVOS!$B$3:$B$10)-1,AD184-E184))-BD184</f>
        <v>36</v>
      </c>
      <c r="BC184" s="156"/>
      <c r="BD184" s="162">
        <v>0</v>
      </c>
      <c r="BE184" s="382" t="s">
        <v>2052</v>
      </c>
    </row>
    <row r="185" spans="2:58" ht="43.9" customHeight="1" x14ac:dyDescent="0.25">
      <c r="B185" s="100">
        <f t="shared" si="49"/>
        <v>167</v>
      </c>
      <c r="C185" s="110" t="s">
        <v>1829</v>
      </c>
      <c r="D185" s="99" t="s">
        <v>28</v>
      </c>
      <c r="E185" s="140">
        <v>44635</v>
      </c>
      <c r="F185" s="268" t="s">
        <v>4433</v>
      </c>
      <c r="G185" s="96" t="s">
        <v>1830</v>
      </c>
      <c r="H185" s="99" t="s">
        <v>1831</v>
      </c>
      <c r="I185" s="96" t="s">
        <v>649</v>
      </c>
      <c r="J185" s="133" t="s">
        <v>1832</v>
      </c>
      <c r="K185" s="341">
        <v>2781245550</v>
      </c>
      <c r="L185" s="99" t="s">
        <v>549</v>
      </c>
      <c r="M185" s="99" t="s">
        <v>146</v>
      </c>
      <c r="N185" s="99"/>
      <c r="O185" s="99">
        <v>202202688</v>
      </c>
      <c r="P185" s="172">
        <v>2144676418</v>
      </c>
      <c r="Q185" s="96" t="s">
        <v>146</v>
      </c>
      <c r="R185" s="96" t="s">
        <v>146</v>
      </c>
      <c r="S185" s="111" t="s">
        <v>146</v>
      </c>
      <c r="T185" s="96" t="s">
        <v>230</v>
      </c>
      <c r="U185" s="96" t="s">
        <v>29</v>
      </c>
      <c r="V185" s="97">
        <v>44635</v>
      </c>
      <c r="W185" s="166">
        <v>79</v>
      </c>
      <c r="X185" s="166">
        <v>79</v>
      </c>
      <c r="Y185" s="99" t="s">
        <v>1317</v>
      </c>
      <c r="Z185" s="96" t="s">
        <v>168</v>
      </c>
      <c r="AA185" s="96" t="s">
        <v>169</v>
      </c>
      <c r="AB185" s="96" t="s">
        <v>1833</v>
      </c>
      <c r="AC185" s="99"/>
      <c r="AD185" s="97">
        <v>44671</v>
      </c>
      <c r="AE185" s="362" t="s">
        <v>4435</v>
      </c>
      <c r="AF185" s="98"/>
      <c r="AG185" s="166">
        <v>36</v>
      </c>
      <c r="AH185" s="166">
        <v>36</v>
      </c>
      <c r="AI185" s="99" t="s">
        <v>146</v>
      </c>
      <c r="AJ185" s="96" t="s">
        <v>171</v>
      </c>
      <c r="AK185" s="96" t="s">
        <v>1834</v>
      </c>
      <c r="AL185" s="97">
        <v>44658</v>
      </c>
      <c r="AM185" s="211">
        <v>1802080450</v>
      </c>
      <c r="AN185" s="96" t="s">
        <v>1071</v>
      </c>
      <c r="AO185" s="96"/>
      <c r="AP185" s="181">
        <f t="shared" si="66"/>
        <v>979165100</v>
      </c>
      <c r="AQ185" s="138"/>
      <c r="AR185" s="138"/>
      <c r="AS185" s="99" t="s">
        <v>146</v>
      </c>
      <c r="AT185" s="99" t="s">
        <v>146</v>
      </c>
      <c r="AU185" s="138"/>
      <c r="AV185" s="99" t="s">
        <v>1001</v>
      </c>
      <c r="AW185" s="99" t="s">
        <v>1002</v>
      </c>
      <c r="AX185" s="99"/>
      <c r="AY185" s="167">
        <f t="shared" si="67"/>
        <v>0.35205992509363299</v>
      </c>
      <c r="AZ185" s="139">
        <f t="shared" si="51"/>
        <v>1</v>
      </c>
      <c r="BA185" s="139">
        <f>IF(T185="Invitación Privada",1,IF(T185="Invitación Pública",2,0))</f>
        <v>0</v>
      </c>
      <c r="BB185" s="132">
        <f>IF(AA185="CONTRATADO",IF(BA185=1,NETWORKDAYS.INTL(E185,AD185,1,[1]FESTIVOS!$B$3:$B$10)-1,AD185-E185))-BD185</f>
        <v>36</v>
      </c>
      <c r="BC185" s="156"/>
      <c r="BD185" s="162">
        <v>0</v>
      </c>
      <c r="BE185" s="382" t="s">
        <v>2052</v>
      </c>
    </row>
    <row r="186" spans="2:58" ht="43.9" customHeight="1" x14ac:dyDescent="0.25">
      <c r="B186" s="100">
        <f t="shared" si="49"/>
        <v>168</v>
      </c>
      <c r="C186" s="110" t="s">
        <v>1396</v>
      </c>
      <c r="D186" s="99" t="s">
        <v>28</v>
      </c>
      <c r="E186" s="140">
        <v>44635</v>
      </c>
      <c r="F186" s="268" t="s">
        <v>4433</v>
      </c>
      <c r="G186" s="96" t="s">
        <v>1397</v>
      </c>
      <c r="H186" s="99" t="s">
        <v>1398</v>
      </c>
      <c r="I186" s="96" t="s">
        <v>629</v>
      </c>
      <c r="J186" s="133" t="s">
        <v>1399</v>
      </c>
      <c r="K186" s="341">
        <v>350345939</v>
      </c>
      <c r="L186" s="99" t="s">
        <v>1835</v>
      </c>
      <c r="M186" s="99" t="s">
        <v>146</v>
      </c>
      <c r="N186" s="99"/>
      <c r="O186" s="99">
        <v>202202688</v>
      </c>
      <c r="P186" s="173"/>
      <c r="Q186" s="96" t="s">
        <v>146</v>
      </c>
      <c r="R186" s="96" t="s">
        <v>146</v>
      </c>
      <c r="S186" s="111" t="s">
        <v>146</v>
      </c>
      <c r="T186" s="96" t="s">
        <v>230</v>
      </c>
      <c r="U186" s="96" t="s">
        <v>34</v>
      </c>
      <c r="V186" s="97">
        <v>44635</v>
      </c>
      <c r="W186" s="166">
        <v>79</v>
      </c>
      <c r="X186" s="166">
        <v>79</v>
      </c>
      <c r="Y186" s="99" t="s">
        <v>1317</v>
      </c>
      <c r="Z186" s="96" t="s">
        <v>168</v>
      </c>
      <c r="AA186" s="96" t="s">
        <v>169</v>
      </c>
      <c r="AB186" s="96" t="s">
        <v>1836</v>
      </c>
      <c r="AC186" s="96"/>
      <c r="AD186" s="97">
        <v>44684</v>
      </c>
      <c r="AE186" s="362" t="s">
        <v>4435</v>
      </c>
      <c r="AF186" s="98"/>
      <c r="AG186" s="166">
        <v>49</v>
      </c>
      <c r="AH186" s="166">
        <v>49</v>
      </c>
      <c r="AI186" s="99" t="s">
        <v>146</v>
      </c>
      <c r="AJ186" s="96" t="s">
        <v>171</v>
      </c>
      <c r="AK186" s="96" t="s">
        <v>1837</v>
      </c>
      <c r="AL186" s="97">
        <v>44655</v>
      </c>
      <c r="AM186" s="211">
        <v>349951849</v>
      </c>
      <c r="AN186" s="96" t="s">
        <v>1069</v>
      </c>
      <c r="AO186" s="96"/>
      <c r="AP186" s="181">
        <f t="shared" si="66"/>
        <v>394090</v>
      </c>
      <c r="AQ186" s="138"/>
      <c r="AR186" s="138"/>
      <c r="AS186" s="99"/>
      <c r="AT186" s="99"/>
      <c r="AU186" s="138"/>
      <c r="AV186" s="99" t="s">
        <v>1124</v>
      </c>
      <c r="AW186" s="99" t="s">
        <v>692</v>
      </c>
      <c r="AX186" s="99"/>
      <c r="AY186" s="167">
        <f t="shared" si="67"/>
        <v>1.1248596205363751E-3</v>
      </c>
      <c r="AZ186" s="139">
        <f t="shared" si="51"/>
        <v>1</v>
      </c>
      <c r="BA186" s="139">
        <f>IF(T186="Invitación Privada",1,IF(T186="Invitación Pública",2,0))</f>
        <v>0</v>
      </c>
      <c r="BB186" s="132">
        <f>IF(AA186="CONTRATADO",IF(BA186=1,NETWORKDAYS.INTL(E186,AD186,1,[1]FESTIVOS!$B$3:$B$10)-1,AD186-E186))-BD186</f>
        <v>49</v>
      </c>
      <c r="BC186" s="156"/>
      <c r="BD186" s="162">
        <v>0</v>
      </c>
      <c r="BE186" s="382" t="s">
        <v>2052</v>
      </c>
    </row>
    <row r="187" spans="2:58" ht="43.9" customHeight="1" x14ac:dyDescent="0.25">
      <c r="B187" s="100">
        <f t="shared" si="49"/>
        <v>169</v>
      </c>
      <c r="C187" s="110" t="s">
        <v>1400</v>
      </c>
      <c r="D187" s="99" t="s">
        <v>28</v>
      </c>
      <c r="E187" s="142">
        <v>44635</v>
      </c>
      <c r="F187" s="268" t="s">
        <v>4433</v>
      </c>
      <c r="G187" s="96" t="s">
        <v>1401</v>
      </c>
      <c r="H187" s="99" t="s">
        <v>1402</v>
      </c>
      <c r="I187" s="96" t="s">
        <v>2342</v>
      </c>
      <c r="J187" s="133" t="s">
        <v>1403</v>
      </c>
      <c r="K187" s="343">
        <v>13554576</v>
      </c>
      <c r="L187" s="96"/>
      <c r="M187" s="96" t="s">
        <v>146</v>
      </c>
      <c r="N187" s="96"/>
      <c r="O187" s="99">
        <v>202200896</v>
      </c>
      <c r="P187" s="169"/>
      <c r="Q187" s="96" t="s">
        <v>146</v>
      </c>
      <c r="R187" s="96" t="s">
        <v>146</v>
      </c>
      <c r="S187" s="96" t="s">
        <v>1561</v>
      </c>
      <c r="T187" s="96" t="s">
        <v>230</v>
      </c>
      <c r="U187" s="96" t="s">
        <v>452</v>
      </c>
      <c r="V187" s="119">
        <v>44644</v>
      </c>
      <c r="W187" s="170">
        <f>+$D$2-E187</f>
        <v>-44635</v>
      </c>
      <c r="X187" s="170">
        <f>$D$2-V187</f>
        <v>-44644</v>
      </c>
      <c r="Y187" s="99" t="s">
        <v>1755</v>
      </c>
      <c r="Z187" s="96" t="s">
        <v>2343</v>
      </c>
      <c r="AA187" s="96" t="s">
        <v>169</v>
      </c>
      <c r="AB187" s="96" t="s">
        <v>2344</v>
      </c>
      <c r="AC187" s="99"/>
      <c r="AD187" s="119">
        <v>44741</v>
      </c>
      <c r="AE187" s="183" t="s">
        <v>4437</v>
      </c>
      <c r="AF187" s="171"/>
      <c r="AG187" s="170">
        <f>+AD187-E187</f>
        <v>106</v>
      </c>
      <c r="AH187" s="144">
        <f>+AD187-V187</f>
        <v>97</v>
      </c>
      <c r="AI187" s="99" t="s">
        <v>146</v>
      </c>
      <c r="AJ187" s="96" t="s">
        <v>171</v>
      </c>
      <c r="AK187" s="96" t="s">
        <v>2345</v>
      </c>
      <c r="AL187" s="119">
        <v>44725</v>
      </c>
      <c r="AM187" s="210">
        <v>11067000</v>
      </c>
      <c r="AN187" s="96" t="s">
        <v>1071</v>
      </c>
      <c r="AO187" s="99">
        <v>202205765</v>
      </c>
      <c r="AP187" s="181">
        <f t="shared" si="66"/>
        <v>2487576</v>
      </c>
      <c r="AQ187" s="138"/>
      <c r="AR187" s="138"/>
      <c r="AS187" s="99"/>
      <c r="AT187" s="99"/>
      <c r="AU187" s="138"/>
      <c r="AV187" s="99" t="s">
        <v>1001</v>
      </c>
      <c r="AW187" s="99" t="s">
        <v>1002</v>
      </c>
      <c r="AX187" s="96" t="s">
        <v>3066</v>
      </c>
      <c r="AY187" s="167">
        <f t="shared" si="67"/>
        <v>0.18352296670880741</v>
      </c>
      <c r="AZ187" s="139">
        <f t="shared" si="51"/>
        <v>1</v>
      </c>
      <c r="BA187" s="139">
        <f>IF(T187="Invitación Privada",1,IF(T187="Invitación Pública",2,0))</f>
        <v>0</v>
      </c>
      <c r="BB187" s="132">
        <f>IF(AA187="CONTRATADO",IF(BA187=1,NETWORKDAYS.INTL(E187,AD187,1,[1]FESTIVOS!$B$3:$B$10)-1,AD187-E187))-BD187</f>
        <v>106</v>
      </c>
      <c r="BC187" s="156"/>
      <c r="BD187" s="162"/>
      <c r="BE187" s="163"/>
    </row>
    <row r="188" spans="2:58" ht="43.9" customHeight="1" x14ac:dyDescent="0.25">
      <c r="B188" s="100">
        <f t="shared" si="49"/>
        <v>170</v>
      </c>
      <c r="C188" s="293" t="s">
        <v>1404</v>
      </c>
      <c r="D188" s="265" t="s">
        <v>332</v>
      </c>
      <c r="E188" s="272">
        <v>44635</v>
      </c>
      <c r="F188" s="268" t="s">
        <v>4433</v>
      </c>
      <c r="G188" s="269" t="s">
        <v>1405</v>
      </c>
      <c r="H188" s="265" t="s">
        <v>1406</v>
      </c>
      <c r="I188" s="265" t="s">
        <v>146</v>
      </c>
      <c r="J188" s="269" t="s">
        <v>1407</v>
      </c>
      <c r="K188" s="342">
        <v>226560000</v>
      </c>
      <c r="L188" s="282"/>
      <c r="M188" s="265" t="s">
        <v>1408</v>
      </c>
      <c r="N188" s="302" t="str">
        <f>MID(M188,5,3)</f>
        <v>IPU</v>
      </c>
      <c r="O188" s="265" t="s">
        <v>1409</v>
      </c>
      <c r="P188" s="271"/>
      <c r="Q188" s="265" t="s">
        <v>146</v>
      </c>
      <c r="R188" s="265" t="s">
        <v>146</v>
      </c>
      <c r="S188" s="265" t="s">
        <v>1561</v>
      </c>
      <c r="T188" s="111" t="s">
        <v>40</v>
      </c>
      <c r="U188" s="269" t="s">
        <v>4012</v>
      </c>
      <c r="V188" s="285">
        <v>44644</v>
      </c>
      <c r="W188" s="303" t="e">
        <f>+$D$4-E188</f>
        <v>#VALUE!</v>
      </c>
      <c r="X188" s="303" t="e">
        <f>$D$4-V188</f>
        <v>#VALUE!</v>
      </c>
      <c r="Y188" s="265" t="s">
        <v>1300</v>
      </c>
      <c r="Z188" s="265" t="s">
        <v>152</v>
      </c>
      <c r="AA188" s="265" t="s">
        <v>153</v>
      </c>
      <c r="AB188" s="265"/>
      <c r="AC188" s="304" t="s">
        <v>2058</v>
      </c>
      <c r="AD188" s="272">
        <v>44719</v>
      </c>
      <c r="AE188" s="265"/>
      <c r="AF188" s="305" t="str">
        <f>+IF(AD188="","",TEXT(AD188,"mmm"))</f>
        <v>jun</v>
      </c>
      <c r="AG188" s="306">
        <f>+AD188-E188</f>
        <v>84</v>
      </c>
      <c r="AH188" s="307">
        <f>+AD188-V188</f>
        <v>75</v>
      </c>
      <c r="AI188" s="265"/>
      <c r="AJ188" s="265" t="s">
        <v>171</v>
      </c>
      <c r="AK188" s="265"/>
      <c r="AL188" s="265"/>
      <c r="AM188" s="265"/>
      <c r="AN188" s="309"/>
      <c r="AO188" s="269"/>
      <c r="AP188" s="265"/>
      <c r="AQ188" s="309">
        <f>+K188-AN188</f>
        <v>226560000</v>
      </c>
      <c r="AR188" s="289"/>
      <c r="AS188" s="269"/>
      <c r="AT188" s="265"/>
      <c r="AU188" s="260"/>
      <c r="AV188" s="260"/>
      <c r="AW188" s="200"/>
      <c r="AX188" s="200"/>
      <c r="AY188" s="200"/>
      <c r="AZ188" s="139">
        <f t="shared" si="51"/>
        <v>0</v>
      </c>
      <c r="BA188" s="200"/>
      <c r="BB188" s="200"/>
      <c r="BC188" s="3"/>
      <c r="BD188" s="95"/>
      <c r="BE188" s="2"/>
    </row>
    <row r="189" spans="2:58" ht="43.9" customHeight="1" x14ac:dyDescent="0.25">
      <c r="B189" s="100">
        <f t="shared" si="49"/>
        <v>171</v>
      </c>
      <c r="C189" s="110" t="s">
        <v>1410</v>
      </c>
      <c r="D189" s="99" t="s">
        <v>32</v>
      </c>
      <c r="E189" s="140">
        <v>44637</v>
      </c>
      <c r="F189" s="268" t="s">
        <v>4433</v>
      </c>
      <c r="G189" s="96" t="s">
        <v>1411</v>
      </c>
      <c r="H189" s="99" t="s">
        <v>1412</v>
      </c>
      <c r="I189" s="96" t="s">
        <v>226</v>
      </c>
      <c r="J189" s="133" t="s">
        <v>1413</v>
      </c>
      <c r="K189" s="341">
        <v>2493891768.4210529</v>
      </c>
      <c r="L189" s="99" t="s">
        <v>283</v>
      </c>
      <c r="M189" s="99" t="s">
        <v>146</v>
      </c>
      <c r="N189" s="99"/>
      <c r="O189" s="99">
        <v>202202745</v>
      </c>
      <c r="P189" s="172">
        <v>2631751640</v>
      </c>
      <c r="Q189" s="96" t="s">
        <v>146</v>
      </c>
      <c r="R189" s="96" t="s">
        <v>146</v>
      </c>
      <c r="S189" s="99" t="s">
        <v>146</v>
      </c>
      <c r="T189" s="96" t="s">
        <v>230</v>
      </c>
      <c r="U189" s="96" t="s">
        <v>35</v>
      </c>
      <c r="V189" s="97">
        <v>44637</v>
      </c>
      <c r="W189" s="166">
        <v>77</v>
      </c>
      <c r="X189" s="166">
        <v>77</v>
      </c>
      <c r="Y189" s="99" t="s">
        <v>1317</v>
      </c>
      <c r="Z189" s="96" t="s">
        <v>168</v>
      </c>
      <c r="AA189" s="96" t="s">
        <v>169</v>
      </c>
      <c r="AB189" s="96" t="s">
        <v>1838</v>
      </c>
      <c r="AC189" s="96"/>
      <c r="AD189" s="97">
        <v>44677</v>
      </c>
      <c r="AE189" s="362" t="s">
        <v>4435</v>
      </c>
      <c r="AF189" s="98"/>
      <c r="AG189" s="166">
        <v>40</v>
      </c>
      <c r="AH189" s="166">
        <v>40</v>
      </c>
      <c r="AI189" s="99" t="s">
        <v>146</v>
      </c>
      <c r="AJ189" s="96" t="s">
        <v>155</v>
      </c>
      <c r="AK189" s="96" t="s">
        <v>1839</v>
      </c>
      <c r="AL189" s="97">
        <v>44658</v>
      </c>
      <c r="AM189" s="211">
        <v>2369197180</v>
      </c>
      <c r="AN189" s="96" t="s">
        <v>1557</v>
      </c>
      <c r="AO189" s="96"/>
      <c r="AP189" s="181">
        <f t="shared" ref="AP189:AP193" si="68">+K189-AM189</f>
        <v>124694588.42105293</v>
      </c>
      <c r="AQ189" s="138"/>
      <c r="AR189" s="138"/>
      <c r="AS189" s="99" t="s">
        <v>1840</v>
      </c>
      <c r="AT189" s="97">
        <v>44610</v>
      </c>
      <c r="AU189" s="138"/>
      <c r="AV189" s="99" t="s">
        <v>1001</v>
      </c>
      <c r="AW189" s="99" t="s">
        <v>692</v>
      </c>
      <c r="AX189" s="99"/>
      <c r="AY189" s="167">
        <f t="shared" ref="AY189:AY193" si="69">+AP189/K189</f>
        <v>5.0000000000000114E-2</v>
      </c>
      <c r="AZ189" s="139">
        <f t="shared" si="51"/>
        <v>1</v>
      </c>
      <c r="BA189" s="139">
        <f>IF(T189="Invitación Privada",1,IF(T189="Invitación Pública",2,0))</f>
        <v>0</v>
      </c>
      <c r="BB189" s="132">
        <f>IF(AA189="CONTRATADO",IF(BA189=1,NETWORKDAYS.INTL(E189,AD189,1,[1]FESTIVOS!$B$3:$B$10)-1,AD189-E189))-BD189</f>
        <v>40</v>
      </c>
      <c r="BC189" s="156"/>
      <c r="BD189" s="162">
        <v>0</v>
      </c>
      <c r="BE189" s="382" t="s">
        <v>2052</v>
      </c>
    </row>
    <row r="190" spans="2:58" ht="43.9" customHeight="1" x14ac:dyDescent="0.25">
      <c r="B190" s="100">
        <f t="shared" si="49"/>
        <v>172</v>
      </c>
      <c r="C190" s="110" t="s">
        <v>1841</v>
      </c>
      <c r="D190" s="99" t="s">
        <v>359</v>
      </c>
      <c r="E190" s="140">
        <v>44637</v>
      </c>
      <c r="F190" s="268" t="s">
        <v>4433</v>
      </c>
      <c r="G190" s="96" t="s">
        <v>1842</v>
      </c>
      <c r="H190" s="99" t="s">
        <v>1240</v>
      </c>
      <c r="I190" s="96" t="s">
        <v>146</v>
      </c>
      <c r="J190" s="133" t="s">
        <v>1241</v>
      </c>
      <c r="K190" s="341">
        <v>1222350357</v>
      </c>
      <c r="L190" s="99" t="s">
        <v>1101</v>
      </c>
      <c r="M190" s="99" t="s">
        <v>1843</v>
      </c>
      <c r="N190" s="99"/>
      <c r="O190" s="99">
        <v>202202134</v>
      </c>
      <c r="P190" s="172">
        <v>1222350357</v>
      </c>
      <c r="Q190" s="96" t="s">
        <v>146</v>
      </c>
      <c r="R190" s="96" t="s">
        <v>146</v>
      </c>
      <c r="S190" s="96" t="s">
        <v>1560</v>
      </c>
      <c r="T190" s="111" t="s">
        <v>40</v>
      </c>
      <c r="U190" s="96" t="s">
        <v>206</v>
      </c>
      <c r="V190" s="97">
        <v>44637</v>
      </c>
      <c r="W190" s="166">
        <v>77</v>
      </c>
      <c r="X190" s="166">
        <v>77</v>
      </c>
      <c r="Y190" s="99" t="s">
        <v>1755</v>
      </c>
      <c r="Z190" s="96" t="s">
        <v>168</v>
      </c>
      <c r="AA190" s="96" t="s">
        <v>169</v>
      </c>
      <c r="AB190" s="96" t="s">
        <v>1844</v>
      </c>
      <c r="AC190" s="99"/>
      <c r="AD190" s="97">
        <v>44678</v>
      </c>
      <c r="AE190" s="362" t="s">
        <v>4435</v>
      </c>
      <c r="AF190" s="98"/>
      <c r="AG190" s="166">
        <v>41</v>
      </c>
      <c r="AH190" s="166">
        <v>41</v>
      </c>
      <c r="AI190" s="99" t="s">
        <v>146</v>
      </c>
      <c r="AJ190" s="96" t="s">
        <v>171</v>
      </c>
      <c r="AK190" s="99" t="s">
        <v>1845</v>
      </c>
      <c r="AL190" s="97">
        <v>44671</v>
      </c>
      <c r="AM190" s="211">
        <v>1215989566</v>
      </c>
      <c r="AN190" s="96" t="s">
        <v>1846</v>
      </c>
      <c r="AO190" s="96"/>
      <c r="AP190" s="181">
        <f t="shared" si="68"/>
        <v>6360791</v>
      </c>
      <c r="AQ190" s="138"/>
      <c r="AR190" s="138"/>
      <c r="AS190" s="99" t="s">
        <v>146</v>
      </c>
      <c r="AT190" s="99" t="s">
        <v>146</v>
      </c>
      <c r="AU190" s="138"/>
      <c r="AV190" s="99" t="s">
        <v>1000</v>
      </c>
      <c r="AW190" s="99" t="s">
        <v>692</v>
      </c>
      <c r="AX190" s="99"/>
      <c r="AY190" s="167">
        <f t="shared" si="69"/>
        <v>5.2037379983356112E-3</v>
      </c>
      <c r="AZ190" s="139">
        <f t="shared" si="51"/>
        <v>0</v>
      </c>
      <c r="BA190" s="139">
        <f>IF(T190="Invitación Privada",1,IF(T190="Invitación Pública",2,0))</f>
        <v>2</v>
      </c>
      <c r="BB190" s="132">
        <f>IF(AA190="CONTRATADO",IF(BA190=1,NETWORKDAYS.INTL(E190,AD190,1,[1]FESTIVOS!$B$3:$B$10)-1,AD190-E190))-BD190</f>
        <v>41</v>
      </c>
      <c r="BC190" s="156"/>
      <c r="BD190" s="162">
        <v>0</v>
      </c>
      <c r="BE190" s="382" t="s">
        <v>2052</v>
      </c>
      <c r="BF190" s="76"/>
    </row>
    <row r="191" spans="2:58" ht="43.9" customHeight="1" x14ac:dyDescent="0.25">
      <c r="B191" s="100">
        <f t="shared" si="49"/>
        <v>173</v>
      </c>
      <c r="C191" s="110" t="s">
        <v>1414</v>
      </c>
      <c r="D191" s="99" t="s">
        <v>33</v>
      </c>
      <c r="E191" s="140">
        <v>44637</v>
      </c>
      <c r="F191" s="268" t="s">
        <v>4433</v>
      </c>
      <c r="G191" s="96" t="s">
        <v>1415</v>
      </c>
      <c r="H191" s="99" t="s">
        <v>1416</v>
      </c>
      <c r="I191" s="96" t="s">
        <v>1224</v>
      </c>
      <c r="J191" s="133" t="s">
        <v>1417</v>
      </c>
      <c r="K191" s="341">
        <v>86320276</v>
      </c>
      <c r="L191" s="96" t="s">
        <v>283</v>
      </c>
      <c r="M191" s="99" t="s">
        <v>146</v>
      </c>
      <c r="N191" s="99"/>
      <c r="O191" s="99">
        <v>202202417</v>
      </c>
      <c r="P191" s="173"/>
      <c r="Q191" s="96" t="s">
        <v>146</v>
      </c>
      <c r="R191" s="96" t="s">
        <v>146</v>
      </c>
      <c r="S191" s="111" t="s">
        <v>146</v>
      </c>
      <c r="T191" s="96" t="s">
        <v>230</v>
      </c>
      <c r="U191" s="96" t="s">
        <v>29</v>
      </c>
      <c r="V191" s="97">
        <v>44638</v>
      </c>
      <c r="W191" s="166" t="e">
        <f>+#REF!-E191</f>
        <v>#REF!</v>
      </c>
      <c r="X191" s="166" t="e">
        <f>#REF!-V191</f>
        <v>#REF!</v>
      </c>
      <c r="Y191" s="99" t="s">
        <v>1317</v>
      </c>
      <c r="Z191" s="96" t="s">
        <v>168</v>
      </c>
      <c r="AA191" s="96" t="s">
        <v>169</v>
      </c>
      <c r="AB191" s="96" t="s">
        <v>2346</v>
      </c>
      <c r="AC191" s="96"/>
      <c r="AD191" s="97">
        <v>44725</v>
      </c>
      <c r="AE191" s="183" t="s">
        <v>4436</v>
      </c>
      <c r="AF191" s="98"/>
      <c r="AG191" s="166">
        <f>+AD191-E191</f>
        <v>88</v>
      </c>
      <c r="AH191" s="166">
        <f>+AD191-V191</f>
        <v>87</v>
      </c>
      <c r="AI191" s="99" t="s">
        <v>146</v>
      </c>
      <c r="AJ191" s="96" t="s">
        <v>171</v>
      </c>
      <c r="AK191" s="96" t="s">
        <v>2347</v>
      </c>
      <c r="AL191" s="97">
        <v>44706</v>
      </c>
      <c r="AM191" s="211">
        <f>62268002+21143571</f>
        <v>83411573</v>
      </c>
      <c r="AN191" s="96" t="s">
        <v>2324</v>
      </c>
      <c r="AO191" s="99">
        <v>202205613</v>
      </c>
      <c r="AP191" s="181">
        <f t="shared" si="68"/>
        <v>2908703</v>
      </c>
      <c r="AQ191" s="138"/>
      <c r="AR191" s="138"/>
      <c r="AS191" s="99"/>
      <c r="AT191" s="99"/>
      <c r="AU191" s="138"/>
      <c r="AV191" s="99" t="s">
        <v>174</v>
      </c>
      <c r="AW191" s="99" t="s">
        <v>175</v>
      </c>
      <c r="AX191" s="99"/>
      <c r="AY191" s="167">
        <f t="shared" si="69"/>
        <v>3.3696636929196104E-2</v>
      </c>
      <c r="AZ191" s="139">
        <f t="shared" si="51"/>
        <v>1</v>
      </c>
      <c r="BA191" s="139">
        <f>IF(T191="Invitación Privada",1,IF(T191="Invitación Pública",2,0))</f>
        <v>0</v>
      </c>
      <c r="BB191" s="132">
        <f>IF(AA191="CONTRATADO",IF(BA191=1,NETWORKDAYS.INTL(E191,AD191,1,[1]FESTIVOS!$B$3:$B$10)-1,AD191-E191))-BD191</f>
        <v>88</v>
      </c>
      <c r="BC191" s="156"/>
      <c r="BD191" s="162"/>
      <c r="BE191" s="163"/>
    </row>
    <row r="192" spans="2:58" ht="43.9" customHeight="1" x14ac:dyDescent="0.25">
      <c r="B192" s="100">
        <f t="shared" si="49"/>
        <v>174</v>
      </c>
      <c r="C192" s="110" t="s">
        <v>1418</v>
      </c>
      <c r="D192" s="99" t="s">
        <v>28</v>
      </c>
      <c r="E192" s="189">
        <v>44642</v>
      </c>
      <c r="F192" s="268" t="s">
        <v>4433</v>
      </c>
      <c r="G192" s="96" t="s">
        <v>1419</v>
      </c>
      <c r="H192" s="99" t="s">
        <v>1420</v>
      </c>
      <c r="I192" s="96" t="s">
        <v>146</v>
      </c>
      <c r="J192" s="133" t="s">
        <v>1421</v>
      </c>
      <c r="K192" s="344">
        <v>219998971</v>
      </c>
      <c r="L192" s="96" t="s">
        <v>228</v>
      </c>
      <c r="M192" s="99" t="s">
        <v>2451</v>
      </c>
      <c r="N192" s="99"/>
      <c r="O192" s="99">
        <v>202200890</v>
      </c>
      <c r="P192" s="190">
        <v>219998971</v>
      </c>
      <c r="Q192" s="96" t="s">
        <v>146</v>
      </c>
      <c r="R192" s="96" t="s">
        <v>146</v>
      </c>
      <c r="S192" s="96" t="s">
        <v>1561</v>
      </c>
      <c r="T192" s="111" t="s">
        <v>40</v>
      </c>
      <c r="U192" s="111" t="s">
        <v>187</v>
      </c>
      <c r="V192" s="192">
        <v>44649</v>
      </c>
      <c r="W192" s="186" t="e">
        <f>+$D$4-E192</f>
        <v>#VALUE!</v>
      </c>
      <c r="X192" s="186" t="e">
        <f>$D$4-V192</f>
        <v>#VALUE!</v>
      </c>
      <c r="Y192" s="99" t="s">
        <v>1317</v>
      </c>
      <c r="Z192" s="96" t="s">
        <v>168</v>
      </c>
      <c r="AA192" s="96" t="s">
        <v>169</v>
      </c>
      <c r="AB192" s="96" t="s">
        <v>2435</v>
      </c>
      <c r="AC192" s="96"/>
      <c r="AD192" s="97">
        <v>44806</v>
      </c>
      <c r="AE192" s="183" t="s">
        <v>4262</v>
      </c>
      <c r="AF192" s="183"/>
      <c r="AG192" s="186">
        <f>+AD192-E192</f>
        <v>164</v>
      </c>
      <c r="AH192" s="187">
        <f>+AD192-V192</f>
        <v>157</v>
      </c>
      <c r="AI192" s="99" t="s">
        <v>146</v>
      </c>
      <c r="AJ192" s="96" t="s">
        <v>171</v>
      </c>
      <c r="AK192" s="99" t="s">
        <v>3670</v>
      </c>
      <c r="AL192" s="97">
        <v>44792</v>
      </c>
      <c r="AM192" s="209">
        <v>215951252</v>
      </c>
      <c r="AN192" s="96" t="s">
        <v>3671</v>
      </c>
      <c r="AO192" s="99">
        <v>202208265</v>
      </c>
      <c r="AP192" s="181">
        <f t="shared" si="68"/>
        <v>4047719</v>
      </c>
      <c r="AQ192" s="193"/>
      <c r="AR192" s="193"/>
      <c r="AS192" s="99"/>
      <c r="AT192" s="99"/>
      <c r="AU192" s="193"/>
      <c r="AV192" s="99" t="s">
        <v>174</v>
      </c>
      <c r="AW192" s="99" t="s">
        <v>175</v>
      </c>
      <c r="AX192" s="96" t="s">
        <v>2379</v>
      </c>
      <c r="AY192" s="167">
        <f t="shared" si="69"/>
        <v>1.8398808783519266E-2</v>
      </c>
      <c r="AZ192" s="139">
        <f t="shared" si="51"/>
        <v>1</v>
      </c>
      <c r="BA192" s="139">
        <f>IF(T192="Invitación Privada",1,IF(T192="Invitación Pública",2,0))</f>
        <v>2</v>
      </c>
      <c r="BB192" s="132">
        <f>IF(AA192="CONTRATADO",IF(BA192=1,NETWORKDAYS.INTL(E192,AD192,1,[1]FESTIVOS!$B$3:$B$10)-1,AD192-E192))-BD192</f>
        <v>109</v>
      </c>
      <c r="BD192" s="207">
        <v>55</v>
      </c>
      <c r="BE192" s="208" t="s">
        <v>3908</v>
      </c>
      <c r="BF192" s="76"/>
    </row>
    <row r="193" spans="2:58" ht="43.9" customHeight="1" x14ac:dyDescent="0.25">
      <c r="B193" s="100">
        <f t="shared" si="49"/>
        <v>175</v>
      </c>
      <c r="C193" s="110" t="s">
        <v>1422</v>
      </c>
      <c r="D193" s="99" t="s">
        <v>28</v>
      </c>
      <c r="E193" s="142">
        <v>44643</v>
      </c>
      <c r="F193" s="268" t="s">
        <v>4433</v>
      </c>
      <c r="G193" s="96" t="s">
        <v>1423</v>
      </c>
      <c r="H193" s="99" t="s">
        <v>1424</v>
      </c>
      <c r="I193" s="96" t="s">
        <v>2348</v>
      </c>
      <c r="J193" s="133" t="s">
        <v>1425</v>
      </c>
      <c r="K193" s="343">
        <v>66554963</v>
      </c>
      <c r="L193" s="96"/>
      <c r="M193" s="99" t="s">
        <v>146</v>
      </c>
      <c r="N193" s="99"/>
      <c r="O193" s="99">
        <v>202201161</v>
      </c>
      <c r="P193" s="169"/>
      <c r="Q193" s="96" t="s">
        <v>146</v>
      </c>
      <c r="R193" s="96" t="s">
        <v>146</v>
      </c>
      <c r="S193" s="111" t="s">
        <v>146</v>
      </c>
      <c r="T193" s="96" t="s">
        <v>230</v>
      </c>
      <c r="U193" s="96" t="s">
        <v>29</v>
      </c>
      <c r="V193" s="142">
        <v>44643</v>
      </c>
      <c r="W193" s="170">
        <f>+$D$2-E193</f>
        <v>-44643</v>
      </c>
      <c r="X193" s="170">
        <f>$D$2-V193</f>
        <v>-44643</v>
      </c>
      <c r="Y193" s="99" t="s">
        <v>1317</v>
      </c>
      <c r="Z193" s="96" t="s">
        <v>168</v>
      </c>
      <c r="AA193" s="96" t="s">
        <v>169</v>
      </c>
      <c r="AB193" s="96" t="s">
        <v>2349</v>
      </c>
      <c r="AC193" s="96"/>
      <c r="AD193" s="119">
        <v>44721</v>
      </c>
      <c r="AE193" s="183" t="s">
        <v>4437</v>
      </c>
      <c r="AF193" s="171"/>
      <c r="AG193" s="170">
        <f>+AD193-E193</f>
        <v>78</v>
      </c>
      <c r="AH193" s="144">
        <f>+AD193-V193</f>
        <v>78</v>
      </c>
      <c r="AI193" s="99" t="s">
        <v>146</v>
      </c>
      <c r="AJ193" s="96" t="s">
        <v>171</v>
      </c>
      <c r="AK193" s="96" t="s">
        <v>2341</v>
      </c>
      <c r="AL193" s="119">
        <v>44707</v>
      </c>
      <c r="AM193" s="390">
        <v>39751349</v>
      </c>
      <c r="AN193" s="96" t="s">
        <v>2324</v>
      </c>
      <c r="AO193" s="99">
        <v>202205626</v>
      </c>
      <c r="AP193" s="181">
        <f t="shared" si="68"/>
        <v>26803614</v>
      </c>
      <c r="AQ193" s="138"/>
      <c r="AR193" s="138"/>
      <c r="AS193" s="99"/>
      <c r="AT193" s="99"/>
      <c r="AU193" s="138"/>
      <c r="AV193" s="99" t="s">
        <v>174</v>
      </c>
      <c r="AW193" s="99" t="s">
        <v>175</v>
      </c>
      <c r="AX193" s="96" t="s">
        <v>2390</v>
      </c>
      <c r="AY193" s="167">
        <f t="shared" si="69"/>
        <v>0.40272900459729805</v>
      </c>
      <c r="AZ193" s="139">
        <f t="shared" si="51"/>
        <v>1</v>
      </c>
      <c r="BA193" s="139">
        <f>IF(T193="Invitación Privada",1,IF(T193="Invitación Pública",2,0))</f>
        <v>0</v>
      </c>
      <c r="BB193" s="132">
        <f>IF(AA193="CONTRATADO",IF(BA193=1,NETWORKDAYS.INTL(E193,AD193,1,[1]FESTIVOS!$B$3:$B$10)-1,AD193-E193))-BD193</f>
        <v>78</v>
      </c>
      <c r="BC193" s="156"/>
      <c r="BD193" s="162"/>
      <c r="BE193" s="163"/>
    </row>
    <row r="194" spans="2:58" ht="43.9" customHeight="1" x14ac:dyDescent="0.25">
      <c r="B194" s="100">
        <f t="shared" si="49"/>
        <v>176</v>
      </c>
      <c r="C194" s="293" t="s">
        <v>1426</v>
      </c>
      <c r="D194" s="312" t="s">
        <v>32</v>
      </c>
      <c r="E194" s="272">
        <v>44645</v>
      </c>
      <c r="F194" s="268" t="s">
        <v>4433</v>
      </c>
      <c r="G194" s="269" t="s">
        <v>1427</v>
      </c>
      <c r="H194" s="265" t="s">
        <v>1428</v>
      </c>
      <c r="I194" s="265" t="s">
        <v>146</v>
      </c>
      <c r="J194" s="269" t="s">
        <v>1429</v>
      </c>
      <c r="K194" s="342">
        <v>535500000</v>
      </c>
      <c r="L194" s="282"/>
      <c r="M194" s="265" t="s">
        <v>1882</v>
      </c>
      <c r="N194" s="302" t="str">
        <f>MID(M194,5,3)</f>
        <v>IPU</v>
      </c>
      <c r="O194" s="265">
        <v>202203018</v>
      </c>
      <c r="P194" s="271"/>
      <c r="Q194" s="265" t="s">
        <v>146</v>
      </c>
      <c r="R194" s="265" t="s">
        <v>146</v>
      </c>
      <c r="S194" s="265" t="s">
        <v>1560</v>
      </c>
      <c r="T194" s="111" t="s">
        <v>40</v>
      </c>
      <c r="U194" s="269" t="s">
        <v>503</v>
      </c>
      <c r="V194" s="285">
        <v>44655</v>
      </c>
      <c r="W194" s="303" t="e">
        <f>+$D$4-E194</f>
        <v>#VALUE!</v>
      </c>
      <c r="X194" s="303" t="e">
        <f>$D$4-V194</f>
        <v>#VALUE!</v>
      </c>
      <c r="Y194" s="265" t="s">
        <v>1300</v>
      </c>
      <c r="Z194" s="265" t="s">
        <v>153</v>
      </c>
      <c r="AA194" s="265" t="s">
        <v>153</v>
      </c>
      <c r="AB194" s="265"/>
      <c r="AC194" s="304" t="s">
        <v>2386</v>
      </c>
      <c r="AD194" s="272">
        <v>44750</v>
      </c>
      <c r="AE194" s="265"/>
      <c r="AF194" s="305" t="str">
        <f>+IF(AD194="","",TEXT(AD194,"mmm"))</f>
        <v>jul</v>
      </c>
      <c r="AG194" s="306">
        <f>+AD194-E194</f>
        <v>105</v>
      </c>
      <c r="AH194" s="307">
        <f>+AD194-V194</f>
        <v>95</v>
      </c>
      <c r="AI194" s="265"/>
      <c r="AJ194" s="265" t="s">
        <v>171</v>
      </c>
      <c r="AK194" s="265"/>
      <c r="AL194" s="265"/>
      <c r="AM194" s="265"/>
      <c r="AN194" s="309"/>
      <c r="AO194" s="269"/>
      <c r="AP194" s="265"/>
      <c r="AQ194" s="309" t="e">
        <f>+I194-AN194</f>
        <v>#VALUE!</v>
      </c>
      <c r="AR194" s="289"/>
      <c r="AS194" s="269"/>
      <c r="AT194" s="265"/>
      <c r="AU194" s="260"/>
      <c r="AV194" s="260"/>
      <c r="AW194" s="200"/>
      <c r="AX194" s="200"/>
      <c r="AY194" s="200"/>
      <c r="AZ194" s="139">
        <f t="shared" si="51"/>
        <v>1</v>
      </c>
      <c r="BA194" s="200"/>
      <c r="BB194" s="200"/>
      <c r="BC194" s="3"/>
      <c r="BD194" s="218"/>
      <c r="BE194" s="338"/>
    </row>
    <row r="195" spans="2:58" ht="43.9" customHeight="1" x14ac:dyDescent="0.25">
      <c r="B195" s="100">
        <f t="shared" si="49"/>
        <v>177</v>
      </c>
      <c r="C195" s="110" t="s">
        <v>1430</v>
      </c>
      <c r="D195" s="99" t="s">
        <v>332</v>
      </c>
      <c r="E195" s="189">
        <v>44645</v>
      </c>
      <c r="F195" s="268" t="s">
        <v>4433</v>
      </c>
      <c r="G195" s="96" t="s">
        <v>1431</v>
      </c>
      <c r="H195" s="96" t="s">
        <v>1432</v>
      </c>
      <c r="I195" s="96" t="s">
        <v>146</v>
      </c>
      <c r="J195" s="133" t="s">
        <v>1433</v>
      </c>
      <c r="K195" s="344">
        <v>1044411000</v>
      </c>
      <c r="L195" s="96" t="s">
        <v>3025</v>
      </c>
      <c r="M195" s="99" t="s">
        <v>3880</v>
      </c>
      <c r="N195" s="99"/>
      <c r="O195" s="99" t="s">
        <v>1434</v>
      </c>
      <c r="P195" s="190">
        <v>1039903043</v>
      </c>
      <c r="Q195" s="96" t="s">
        <v>146</v>
      </c>
      <c r="R195" s="96" t="s">
        <v>146</v>
      </c>
      <c r="S195" s="96" t="s">
        <v>1560</v>
      </c>
      <c r="T195" s="111" t="s">
        <v>40</v>
      </c>
      <c r="U195" s="96" t="s">
        <v>312</v>
      </c>
      <c r="V195" s="192">
        <v>44648</v>
      </c>
      <c r="W195" s="186" t="e">
        <f>+$D$4-E195</f>
        <v>#VALUE!</v>
      </c>
      <c r="X195" s="186" t="e">
        <f>$D$4-V195</f>
        <v>#VALUE!</v>
      </c>
      <c r="Y195" s="194" t="s">
        <v>1317</v>
      </c>
      <c r="Z195" s="96" t="s">
        <v>168</v>
      </c>
      <c r="AA195" s="96" t="s">
        <v>169</v>
      </c>
      <c r="AB195" s="96" t="s">
        <v>3175</v>
      </c>
      <c r="AC195" s="96" t="s">
        <v>2436</v>
      </c>
      <c r="AD195" s="199">
        <v>44816</v>
      </c>
      <c r="AE195" s="183" t="s">
        <v>4262</v>
      </c>
      <c r="AF195" s="183"/>
      <c r="AG195" s="186">
        <f>+AD195-E195</f>
        <v>171</v>
      </c>
      <c r="AH195" s="187">
        <f>+AD195-V195</f>
        <v>168</v>
      </c>
      <c r="AI195" s="194" t="s">
        <v>146</v>
      </c>
      <c r="AJ195" s="96" t="s">
        <v>171</v>
      </c>
      <c r="AK195" s="194" t="s">
        <v>3672</v>
      </c>
      <c r="AL195" s="199">
        <v>44761</v>
      </c>
      <c r="AM195" s="209">
        <v>1042387972</v>
      </c>
      <c r="AN195" s="188" t="s">
        <v>3673</v>
      </c>
      <c r="AO195" s="194"/>
      <c r="AP195" s="181">
        <f t="shared" ref="AP195:AP201" si="70">+K195-AM195</f>
        <v>2023028</v>
      </c>
      <c r="AQ195" s="193"/>
      <c r="AR195" s="193"/>
      <c r="AS195" s="194"/>
      <c r="AT195" s="194"/>
      <c r="AU195" s="193"/>
      <c r="AV195" s="194"/>
      <c r="AW195" s="194"/>
      <c r="AX195" s="96" t="s">
        <v>2437</v>
      </c>
      <c r="AY195" s="167">
        <f t="shared" ref="AY195:AY201" si="71">+AP195/K195</f>
        <v>1.9370037274597835E-3</v>
      </c>
      <c r="AZ195" s="139">
        <f t="shared" si="51"/>
        <v>0</v>
      </c>
      <c r="BA195" s="139">
        <f t="shared" ref="BA195:BA201" si="72">IF(T195="Invitación Privada",1,IF(T195="Invitación Pública",2,0))</f>
        <v>2</v>
      </c>
      <c r="BB195" s="132">
        <f>IF(AA195="CONTRATADO",IF(BA195=1,NETWORKDAYS.INTL(E195,AD195,1,[1]FESTIVOS!$B$3:$B$10)-1,AD195-E195))-BD195</f>
        <v>145</v>
      </c>
      <c r="BD195" s="207">
        <f>14+12</f>
        <v>26</v>
      </c>
      <c r="BE195" s="208" t="s">
        <v>3907</v>
      </c>
      <c r="BF195" s="76"/>
    </row>
    <row r="196" spans="2:58" ht="43.9" customHeight="1" x14ac:dyDescent="0.25">
      <c r="B196" s="100">
        <f t="shared" si="49"/>
        <v>178</v>
      </c>
      <c r="C196" s="110" t="s">
        <v>1435</v>
      </c>
      <c r="D196" s="99" t="s">
        <v>33</v>
      </c>
      <c r="E196" s="142">
        <v>44645</v>
      </c>
      <c r="F196" s="268" t="s">
        <v>4433</v>
      </c>
      <c r="G196" s="96" t="s">
        <v>1436</v>
      </c>
      <c r="H196" s="99" t="s">
        <v>1437</v>
      </c>
      <c r="I196" s="96" t="s">
        <v>146</v>
      </c>
      <c r="J196" s="133" t="s">
        <v>1438</v>
      </c>
      <c r="K196" s="343">
        <v>1000000000</v>
      </c>
      <c r="L196" s="96" t="s">
        <v>549</v>
      </c>
      <c r="M196" s="99" t="s">
        <v>1883</v>
      </c>
      <c r="N196" s="99"/>
      <c r="O196" s="99">
        <v>202202954</v>
      </c>
      <c r="P196" s="169"/>
      <c r="Q196" s="96" t="s">
        <v>146</v>
      </c>
      <c r="R196" s="96" t="s">
        <v>146</v>
      </c>
      <c r="S196" s="96" t="s">
        <v>1560</v>
      </c>
      <c r="T196" s="111" t="s">
        <v>40</v>
      </c>
      <c r="U196" s="96" t="s">
        <v>187</v>
      </c>
      <c r="V196" s="119">
        <v>44648</v>
      </c>
      <c r="W196" s="170">
        <v>173</v>
      </c>
      <c r="X196" s="170">
        <v>170</v>
      </c>
      <c r="Y196" s="99" t="s">
        <v>1755</v>
      </c>
      <c r="Z196" s="96" t="s">
        <v>168</v>
      </c>
      <c r="AA196" s="96" t="s">
        <v>169</v>
      </c>
      <c r="AB196" s="96" t="s">
        <v>2438</v>
      </c>
      <c r="AC196" s="99"/>
      <c r="AD196" s="97">
        <v>44790</v>
      </c>
      <c r="AE196" s="183" t="s">
        <v>4438</v>
      </c>
      <c r="AF196" s="171"/>
      <c r="AG196" s="170">
        <v>145</v>
      </c>
      <c r="AH196" s="144">
        <v>142</v>
      </c>
      <c r="AI196" s="99" t="s">
        <v>241</v>
      </c>
      <c r="AJ196" s="96" t="s">
        <v>155</v>
      </c>
      <c r="AK196" s="99" t="s">
        <v>3398</v>
      </c>
      <c r="AL196" s="97">
        <v>44728</v>
      </c>
      <c r="AM196" s="165">
        <v>958964118</v>
      </c>
      <c r="AN196" s="96" t="s">
        <v>3399</v>
      </c>
      <c r="AO196" s="99">
        <v>202207824</v>
      </c>
      <c r="AP196" s="181">
        <f t="shared" si="70"/>
        <v>41035882</v>
      </c>
      <c r="AQ196" s="138"/>
      <c r="AR196" s="138"/>
      <c r="AS196" s="99"/>
      <c r="AT196" s="99"/>
      <c r="AU196" s="138"/>
      <c r="AV196" s="99" t="s">
        <v>1000</v>
      </c>
      <c r="AW196" s="99" t="s">
        <v>692</v>
      </c>
      <c r="AX196" s="96" t="s">
        <v>2439</v>
      </c>
      <c r="AY196" s="167">
        <f t="shared" si="71"/>
        <v>4.1035882000000003E-2</v>
      </c>
      <c r="AZ196" s="139">
        <f t="shared" si="51"/>
        <v>1</v>
      </c>
      <c r="BA196" s="139">
        <f t="shared" si="72"/>
        <v>2</v>
      </c>
      <c r="BB196" s="132">
        <f>IF(AA196="CONTRATADO",IF(BA196=1,NETWORKDAYS.INTL(E196,AD196,1,[1]FESTIVOS!$B$3:$B$10)-1,AD196-E196))-BD196</f>
        <v>99</v>
      </c>
      <c r="BC196" s="156"/>
      <c r="BD196" s="162">
        <f>26+20</f>
        <v>46</v>
      </c>
      <c r="BE196" s="163" t="s">
        <v>3516</v>
      </c>
      <c r="BF196" s="76"/>
    </row>
    <row r="197" spans="2:58" ht="43.9" customHeight="1" x14ac:dyDescent="0.25">
      <c r="B197" s="100">
        <f t="shared" si="49"/>
        <v>179</v>
      </c>
      <c r="C197" s="110" t="s">
        <v>1439</v>
      </c>
      <c r="D197" s="99" t="s">
        <v>28</v>
      </c>
      <c r="E197" s="140">
        <v>44645</v>
      </c>
      <c r="F197" s="268" t="s">
        <v>4433</v>
      </c>
      <c r="G197" s="96" t="s">
        <v>1440</v>
      </c>
      <c r="H197" s="99" t="s">
        <v>1441</v>
      </c>
      <c r="I197" s="96" t="s">
        <v>1224</v>
      </c>
      <c r="J197" s="133" t="s">
        <v>1442</v>
      </c>
      <c r="K197" s="341">
        <v>1053865028</v>
      </c>
      <c r="L197" s="96" t="s">
        <v>1182</v>
      </c>
      <c r="M197" s="99" t="s">
        <v>146</v>
      </c>
      <c r="N197" s="99"/>
      <c r="O197" s="99">
        <v>202202078</v>
      </c>
      <c r="P197" s="173"/>
      <c r="Q197" s="96" t="s">
        <v>146</v>
      </c>
      <c r="R197" s="96" t="s">
        <v>146</v>
      </c>
      <c r="S197" s="111" t="s">
        <v>146</v>
      </c>
      <c r="T197" s="96" t="s">
        <v>230</v>
      </c>
      <c r="U197" s="96" t="s">
        <v>29</v>
      </c>
      <c r="V197" s="97">
        <v>44648</v>
      </c>
      <c r="W197" s="166" t="e">
        <f>+#REF!-E197</f>
        <v>#REF!</v>
      </c>
      <c r="X197" s="166" t="e">
        <f>#REF!-V197</f>
        <v>#REF!</v>
      </c>
      <c r="Y197" s="99" t="s">
        <v>1317</v>
      </c>
      <c r="Z197" s="96" t="s">
        <v>168</v>
      </c>
      <c r="AA197" s="96" t="s">
        <v>169</v>
      </c>
      <c r="AB197" s="96" t="s">
        <v>2350</v>
      </c>
      <c r="AC197" s="96"/>
      <c r="AD197" s="97">
        <v>44718</v>
      </c>
      <c r="AE197" s="183" t="s">
        <v>4436</v>
      </c>
      <c r="AF197" s="98"/>
      <c r="AG197" s="166">
        <f>+AD197-E197</f>
        <v>73</v>
      </c>
      <c r="AH197" s="166">
        <f>+AD197-V197</f>
        <v>70</v>
      </c>
      <c r="AI197" s="99" t="s">
        <v>146</v>
      </c>
      <c r="AJ197" s="96" t="s">
        <v>171</v>
      </c>
      <c r="AK197" s="96" t="s">
        <v>2351</v>
      </c>
      <c r="AL197" s="97">
        <v>44704</v>
      </c>
      <c r="AM197" s="211">
        <v>985518328</v>
      </c>
      <c r="AN197" s="96" t="s">
        <v>2324</v>
      </c>
      <c r="AO197" s="99">
        <v>202205513</v>
      </c>
      <c r="AP197" s="181">
        <f t="shared" si="70"/>
        <v>68346700</v>
      </c>
      <c r="AQ197" s="138"/>
      <c r="AR197" s="138"/>
      <c r="AS197" s="99"/>
      <c r="AT197" s="99"/>
      <c r="AU197" s="138"/>
      <c r="AV197" s="99" t="s">
        <v>174</v>
      </c>
      <c r="AW197" s="99" t="s">
        <v>175</v>
      </c>
      <c r="AX197" s="99"/>
      <c r="AY197" s="167">
        <f t="shared" si="71"/>
        <v>6.4853371337036156E-2</v>
      </c>
      <c r="AZ197" s="139">
        <f t="shared" si="51"/>
        <v>1</v>
      </c>
      <c r="BA197" s="139">
        <f t="shared" si="72"/>
        <v>0</v>
      </c>
      <c r="BB197" s="132">
        <f>IF(AA197="CONTRATADO",IF(BA197=1,NETWORKDAYS.INTL(E197,AD197,1,[1]FESTIVOS!$B$3:$B$10)-1,AD197-E197))-BD197</f>
        <v>73</v>
      </c>
      <c r="BC197" s="156"/>
      <c r="BD197" s="162"/>
      <c r="BE197" s="163"/>
    </row>
    <row r="198" spans="2:58" ht="43.9" customHeight="1" x14ac:dyDescent="0.25">
      <c r="B198" s="100">
        <f t="shared" si="49"/>
        <v>180</v>
      </c>
      <c r="C198" s="110" t="s">
        <v>1443</v>
      </c>
      <c r="D198" s="99" t="s">
        <v>28</v>
      </c>
      <c r="E198" s="140">
        <v>44645</v>
      </c>
      <c r="F198" s="268" t="s">
        <v>4433</v>
      </c>
      <c r="G198" s="96" t="s">
        <v>1444</v>
      </c>
      <c r="H198" s="99" t="s">
        <v>1445</v>
      </c>
      <c r="I198" s="96" t="s">
        <v>1224</v>
      </c>
      <c r="J198" s="133" t="s">
        <v>1446</v>
      </c>
      <c r="K198" s="341">
        <v>3111659691</v>
      </c>
      <c r="L198" s="99" t="s">
        <v>298</v>
      </c>
      <c r="M198" s="99" t="s">
        <v>146</v>
      </c>
      <c r="N198" s="99"/>
      <c r="O198" s="99" t="s">
        <v>1447</v>
      </c>
      <c r="P198" s="172">
        <v>3111659691</v>
      </c>
      <c r="Q198" s="96" t="s">
        <v>146</v>
      </c>
      <c r="R198" s="96" t="s">
        <v>146</v>
      </c>
      <c r="S198" s="111" t="s">
        <v>146</v>
      </c>
      <c r="T198" s="96" t="s">
        <v>230</v>
      </c>
      <c r="U198" s="96" t="s">
        <v>29</v>
      </c>
      <c r="V198" s="97">
        <v>44648</v>
      </c>
      <c r="W198" s="166" t="e">
        <f>+#REF!-E198</f>
        <v>#REF!</v>
      </c>
      <c r="X198" s="166" t="e">
        <f>#REF!-V198</f>
        <v>#REF!</v>
      </c>
      <c r="Y198" s="99" t="s">
        <v>1755</v>
      </c>
      <c r="Z198" s="96" t="s">
        <v>168</v>
      </c>
      <c r="AA198" s="96" t="s">
        <v>169</v>
      </c>
      <c r="AB198" s="96" t="s">
        <v>2352</v>
      </c>
      <c r="AC198" s="96"/>
      <c r="AD198" s="97">
        <v>44722</v>
      </c>
      <c r="AE198" s="183" t="s">
        <v>4436</v>
      </c>
      <c r="AF198" s="98"/>
      <c r="AG198" s="166">
        <f>+AD198-E198</f>
        <v>77</v>
      </c>
      <c r="AH198" s="166">
        <f>+AD198-V198</f>
        <v>74</v>
      </c>
      <c r="AI198" s="99" t="s">
        <v>146</v>
      </c>
      <c r="AJ198" s="96" t="s">
        <v>171</v>
      </c>
      <c r="AK198" s="96" t="s">
        <v>2353</v>
      </c>
      <c r="AL198" s="97">
        <v>44707</v>
      </c>
      <c r="AM198" s="211">
        <f>446988362+2546844013</f>
        <v>2993832375</v>
      </c>
      <c r="AN198" s="96" t="s">
        <v>2324</v>
      </c>
      <c r="AO198" s="96" t="s">
        <v>2354</v>
      </c>
      <c r="AP198" s="181">
        <f t="shared" si="70"/>
        <v>117827316</v>
      </c>
      <c r="AQ198" s="138"/>
      <c r="AR198" s="138"/>
      <c r="AS198" s="99"/>
      <c r="AT198" s="99"/>
      <c r="AU198" s="138"/>
      <c r="AV198" s="99" t="s">
        <v>174</v>
      </c>
      <c r="AW198" s="99" t="s">
        <v>175</v>
      </c>
      <c r="AX198" s="99"/>
      <c r="AY198" s="167">
        <f t="shared" si="71"/>
        <v>3.7866388905186996E-2</v>
      </c>
      <c r="AZ198" s="139">
        <f t="shared" si="51"/>
        <v>1</v>
      </c>
      <c r="BA198" s="139">
        <f t="shared" si="72"/>
        <v>0</v>
      </c>
      <c r="BB198" s="132">
        <f>IF(AA198="CONTRATADO",IF(BA198=1,NETWORKDAYS.INTL(E198,AD198,1,[1]FESTIVOS!$B$3:$B$10)-1,AD198-E198))-BD198</f>
        <v>77</v>
      </c>
      <c r="BC198" s="156"/>
      <c r="BD198" s="162"/>
      <c r="BE198" s="163"/>
    </row>
    <row r="199" spans="2:58" ht="43.9" customHeight="1" x14ac:dyDescent="0.25">
      <c r="B199" s="100">
        <f t="shared" si="49"/>
        <v>181</v>
      </c>
      <c r="C199" s="110" t="s">
        <v>1448</v>
      </c>
      <c r="D199" s="99" t="s">
        <v>28</v>
      </c>
      <c r="E199" s="142">
        <v>44648</v>
      </c>
      <c r="F199" s="268" t="s">
        <v>4433</v>
      </c>
      <c r="G199" s="96" t="s">
        <v>1449</v>
      </c>
      <c r="H199" s="99" t="s">
        <v>1450</v>
      </c>
      <c r="I199" s="96" t="s">
        <v>146</v>
      </c>
      <c r="J199" s="133" t="s">
        <v>1451</v>
      </c>
      <c r="K199" s="343">
        <v>425201539</v>
      </c>
      <c r="L199" s="96" t="s">
        <v>3025</v>
      </c>
      <c r="M199" s="99" t="s">
        <v>1584</v>
      </c>
      <c r="N199" s="99"/>
      <c r="O199" s="99">
        <v>202200888</v>
      </c>
      <c r="P199" s="168">
        <v>425201539</v>
      </c>
      <c r="Q199" s="96" t="s">
        <v>146</v>
      </c>
      <c r="R199" s="96" t="s">
        <v>146</v>
      </c>
      <c r="S199" s="96" t="s">
        <v>1561</v>
      </c>
      <c r="T199" s="111" t="s">
        <v>40</v>
      </c>
      <c r="U199" s="111" t="s">
        <v>187</v>
      </c>
      <c r="V199" s="119">
        <v>44655</v>
      </c>
      <c r="W199" s="170">
        <v>170</v>
      </c>
      <c r="X199" s="170">
        <v>163</v>
      </c>
      <c r="Y199" s="99" t="s">
        <v>1317</v>
      </c>
      <c r="Z199" s="170" t="s">
        <v>168</v>
      </c>
      <c r="AA199" s="96" t="s">
        <v>169</v>
      </c>
      <c r="AB199" s="96" t="s">
        <v>2440</v>
      </c>
      <c r="AC199" s="99"/>
      <c r="AD199" s="97">
        <v>44796</v>
      </c>
      <c r="AE199" s="183" t="s">
        <v>4438</v>
      </c>
      <c r="AF199" s="171"/>
      <c r="AG199" s="170">
        <v>148</v>
      </c>
      <c r="AH199" s="144">
        <v>141</v>
      </c>
      <c r="AI199" s="99" t="s">
        <v>258</v>
      </c>
      <c r="AJ199" s="96" t="s">
        <v>171</v>
      </c>
      <c r="AK199" s="99" t="s">
        <v>3400</v>
      </c>
      <c r="AL199" s="97">
        <v>44783</v>
      </c>
      <c r="AM199" s="211">
        <v>416649663</v>
      </c>
      <c r="AN199" s="96" t="s">
        <v>3401</v>
      </c>
      <c r="AO199" s="99">
        <v>202207863</v>
      </c>
      <c r="AP199" s="181">
        <f t="shared" si="70"/>
        <v>8551876</v>
      </c>
      <c r="AQ199" s="138"/>
      <c r="AR199" s="138"/>
      <c r="AS199" s="99" t="s">
        <v>146</v>
      </c>
      <c r="AT199" s="99" t="s">
        <v>146</v>
      </c>
      <c r="AU199" s="138"/>
      <c r="AV199" s="99"/>
      <c r="AW199" s="99"/>
      <c r="AX199" s="96" t="s">
        <v>2379</v>
      </c>
      <c r="AY199" s="167">
        <f t="shared" si="71"/>
        <v>2.0112523628471626E-2</v>
      </c>
      <c r="AZ199" s="139">
        <f t="shared" si="51"/>
        <v>1</v>
      </c>
      <c r="BA199" s="139">
        <f t="shared" si="72"/>
        <v>2</v>
      </c>
      <c r="BB199" s="132">
        <f>IF(AA199="CONTRATADO",IF(BA199=1,NETWORKDAYS.INTL(E199,AD199,1,[1]FESTIVOS!$B$3:$B$10)-1,AD199-E199))-BD199</f>
        <v>94</v>
      </c>
      <c r="BC199" s="156"/>
      <c r="BD199" s="162">
        <f>26+28</f>
        <v>54</v>
      </c>
      <c r="BE199" s="163" t="s">
        <v>3517</v>
      </c>
      <c r="BF199" s="76"/>
    </row>
    <row r="200" spans="2:58" ht="43.9" customHeight="1" x14ac:dyDescent="0.25">
      <c r="B200" s="100">
        <f t="shared" si="49"/>
        <v>182</v>
      </c>
      <c r="C200" s="110" t="s">
        <v>1452</v>
      </c>
      <c r="D200" s="99" t="s">
        <v>28</v>
      </c>
      <c r="E200" s="140">
        <v>44648</v>
      </c>
      <c r="F200" s="268" t="s">
        <v>4433</v>
      </c>
      <c r="G200" s="96" t="s">
        <v>1453</v>
      </c>
      <c r="H200" s="99" t="s">
        <v>1454</v>
      </c>
      <c r="I200" s="96" t="s">
        <v>1224</v>
      </c>
      <c r="J200" s="133" t="s">
        <v>1455</v>
      </c>
      <c r="K200" s="348">
        <v>2583811038</v>
      </c>
      <c r="L200" s="99" t="s">
        <v>2355</v>
      </c>
      <c r="M200" s="99" t="s">
        <v>146</v>
      </c>
      <c r="N200" s="99"/>
      <c r="O200" s="99">
        <v>202202749</v>
      </c>
      <c r="P200" s="173"/>
      <c r="Q200" s="96" t="s">
        <v>146</v>
      </c>
      <c r="R200" s="96" t="s">
        <v>146</v>
      </c>
      <c r="S200" s="111" t="s">
        <v>146</v>
      </c>
      <c r="T200" s="96" t="s">
        <v>230</v>
      </c>
      <c r="U200" s="96" t="s">
        <v>29</v>
      </c>
      <c r="V200" s="97">
        <v>44649</v>
      </c>
      <c r="W200" s="166" t="e">
        <f>+#REF!-E200</f>
        <v>#REF!</v>
      </c>
      <c r="X200" s="166" t="e">
        <f>#REF!-V200</f>
        <v>#REF!</v>
      </c>
      <c r="Y200" s="99" t="s">
        <v>1317</v>
      </c>
      <c r="Z200" s="96" t="s">
        <v>168</v>
      </c>
      <c r="AA200" s="96" t="s">
        <v>169</v>
      </c>
      <c r="AB200" s="96" t="s">
        <v>2081</v>
      </c>
      <c r="AC200" s="96"/>
      <c r="AD200" s="97">
        <v>44725</v>
      </c>
      <c r="AE200" s="183" t="s">
        <v>4436</v>
      </c>
      <c r="AF200" s="98"/>
      <c r="AG200" s="166">
        <f>+AD200-E200</f>
        <v>77</v>
      </c>
      <c r="AH200" s="166">
        <f>+AD200-V200</f>
        <v>76</v>
      </c>
      <c r="AI200" s="99" t="s">
        <v>146</v>
      </c>
      <c r="AJ200" s="96" t="s">
        <v>171</v>
      </c>
      <c r="AK200" s="96" t="s">
        <v>2356</v>
      </c>
      <c r="AL200" s="97">
        <v>44712</v>
      </c>
      <c r="AM200" s="211">
        <v>2583811038</v>
      </c>
      <c r="AN200" s="96" t="s">
        <v>2324</v>
      </c>
      <c r="AO200" s="99">
        <v>202205666</v>
      </c>
      <c r="AP200" s="181">
        <f t="shared" si="70"/>
        <v>0</v>
      </c>
      <c r="AQ200" s="138"/>
      <c r="AR200" s="138"/>
      <c r="AS200" s="99"/>
      <c r="AT200" s="99"/>
      <c r="AU200" s="138"/>
      <c r="AV200" s="96" t="s">
        <v>2324</v>
      </c>
      <c r="AW200" s="99" t="s">
        <v>174</v>
      </c>
      <c r="AX200" s="99"/>
      <c r="AY200" s="167">
        <f t="shared" si="71"/>
        <v>0</v>
      </c>
      <c r="AZ200" s="139">
        <f t="shared" si="51"/>
        <v>1</v>
      </c>
      <c r="BA200" s="139">
        <f t="shared" si="72"/>
        <v>0</v>
      </c>
      <c r="BB200" s="132">
        <f>IF(AA200="CONTRATADO",IF(BA200=1,NETWORKDAYS.INTL(E200,AD200,1,[1]FESTIVOS!$B$3:$B$10)-1,AD200-E200))-BD200</f>
        <v>77</v>
      </c>
      <c r="BC200" s="156"/>
      <c r="BD200" s="162"/>
      <c r="BE200" s="163"/>
    </row>
    <row r="201" spans="2:58" ht="43.9" customHeight="1" x14ac:dyDescent="0.25">
      <c r="B201" s="100">
        <f t="shared" si="49"/>
        <v>183</v>
      </c>
      <c r="C201" s="110" t="s">
        <v>1456</v>
      </c>
      <c r="D201" s="99" t="s">
        <v>28</v>
      </c>
      <c r="E201" s="142">
        <v>44648</v>
      </c>
      <c r="F201" s="268" t="s">
        <v>4433</v>
      </c>
      <c r="G201" s="96" t="s">
        <v>1457</v>
      </c>
      <c r="H201" s="99" t="s">
        <v>1458</v>
      </c>
      <c r="I201" s="96" t="s">
        <v>146</v>
      </c>
      <c r="J201" s="133" t="s">
        <v>1459</v>
      </c>
      <c r="K201" s="343">
        <v>151608261</v>
      </c>
      <c r="L201" s="99" t="s">
        <v>3030</v>
      </c>
      <c r="M201" s="99" t="s">
        <v>1585</v>
      </c>
      <c r="N201" s="99"/>
      <c r="O201" s="99">
        <v>202202904</v>
      </c>
      <c r="P201" s="169"/>
      <c r="Q201" s="96" t="s">
        <v>146</v>
      </c>
      <c r="R201" s="96" t="s">
        <v>146</v>
      </c>
      <c r="S201" s="96" t="s">
        <v>1561</v>
      </c>
      <c r="T201" s="111" t="s">
        <v>40</v>
      </c>
      <c r="U201" s="111" t="s">
        <v>187</v>
      </c>
      <c r="V201" s="119">
        <v>44655</v>
      </c>
      <c r="W201" s="170">
        <v>170</v>
      </c>
      <c r="X201" s="170">
        <v>163</v>
      </c>
      <c r="Y201" s="99" t="s">
        <v>1317</v>
      </c>
      <c r="Z201" s="96" t="s">
        <v>168</v>
      </c>
      <c r="AA201" s="96" t="s">
        <v>169</v>
      </c>
      <c r="AB201" s="96" t="s">
        <v>3003</v>
      </c>
      <c r="AC201" s="99"/>
      <c r="AD201" s="97">
        <v>44798</v>
      </c>
      <c r="AE201" s="183" t="s">
        <v>4438</v>
      </c>
      <c r="AF201" s="171"/>
      <c r="AG201" s="170">
        <v>150</v>
      </c>
      <c r="AH201" s="144">
        <v>143</v>
      </c>
      <c r="AI201" s="99" t="s">
        <v>146</v>
      </c>
      <c r="AJ201" s="96" t="s">
        <v>155</v>
      </c>
      <c r="AK201" s="99" t="s">
        <v>3402</v>
      </c>
      <c r="AL201" s="97">
        <v>44767</v>
      </c>
      <c r="AM201" s="211">
        <v>151608261</v>
      </c>
      <c r="AN201" s="96" t="s">
        <v>3403</v>
      </c>
      <c r="AO201" s="99">
        <v>202207238</v>
      </c>
      <c r="AP201" s="181">
        <f t="shared" si="70"/>
        <v>0</v>
      </c>
      <c r="AQ201" s="138"/>
      <c r="AR201" s="138"/>
      <c r="AS201" s="99"/>
      <c r="AT201" s="99"/>
      <c r="AU201" s="138"/>
      <c r="AV201" s="99" t="s">
        <v>3404</v>
      </c>
      <c r="AW201" s="99" t="s">
        <v>3405</v>
      </c>
      <c r="AX201" s="96" t="s">
        <v>2379</v>
      </c>
      <c r="AY201" s="167">
        <f t="shared" si="71"/>
        <v>0</v>
      </c>
      <c r="AZ201" s="139">
        <f t="shared" si="51"/>
        <v>1</v>
      </c>
      <c r="BA201" s="139">
        <f t="shared" si="72"/>
        <v>2</v>
      </c>
      <c r="BB201" s="132">
        <f>IF(AA201="CONTRATADO",IF(BA201=1,NETWORKDAYS.INTL(E201,AD201,1,[1]FESTIVOS!$B$3:$B$10)-1,AD201-E201))-BD201</f>
        <v>124</v>
      </c>
      <c r="BC201" s="156"/>
      <c r="BD201" s="162">
        <v>26</v>
      </c>
      <c r="BE201" s="163" t="s">
        <v>3515</v>
      </c>
      <c r="BF201" s="76"/>
    </row>
    <row r="202" spans="2:58" ht="43.9" customHeight="1" x14ac:dyDescent="0.25">
      <c r="B202" s="100">
        <f t="shared" si="49"/>
        <v>184</v>
      </c>
      <c r="C202" s="293" t="s">
        <v>1460</v>
      </c>
      <c r="D202" s="265" t="s">
        <v>28</v>
      </c>
      <c r="E202" s="272">
        <v>44648</v>
      </c>
      <c r="F202" s="268" t="s">
        <v>4433</v>
      </c>
      <c r="G202" s="269" t="s">
        <v>1461</v>
      </c>
      <c r="H202" s="265" t="s">
        <v>1462</v>
      </c>
      <c r="I202" s="265" t="s">
        <v>146</v>
      </c>
      <c r="J202" s="269" t="s">
        <v>1463</v>
      </c>
      <c r="K202" s="342">
        <v>495000000</v>
      </c>
      <c r="L202" s="282"/>
      <c r="M202" s="265" t="s">
        <v>1586</v>
      </c>
      <c r="N202" s="302" t="str">
        <f>MID(M202,5,3)</f>
        <v>IPU</v>
      </c>
      <c r="O202" s="265">
        <v>202202753</v>
      </c>
      <c r="P202" s="271">
        <v>495000000</v>
      </c>
      <c r="Q202" s="265" t="s">
        <v>146</v>
      </c>
      <c r="R202" s="265" t="s">
        <v>146</v>
      </c>
      <c r="S202" s="265" t="s">
        <v>1561</v>
      </c>
      <c r="T202" s="111" t="s">
        <v>40</v>
      </c>
      <c r="U202" s="269" t="s">
        <v>364</v>
      </c>
      <c r="V202" s="285">
        <v>44655</v>
      </c>
      <c r="W202" s="303" t="e">
        <f>+$D$4-E202</f>
        <v>#VALUE!</v>
      </c>
      <c r="X202" s="303" t="e">
        <f>$D$4-V202</f>
        <v>#VALUE!</v>
      </c>
      <c r="Y202" s="265" t="s">
        <v>1300</v>
      </c>
      <c r="Z202" s="265" t="s">
        <v>152</v>
      </c>
      <c r="AA202" s="265" t="s">
        <v>153</v>
      </c>
      <c r="AB202" s="265"/>
      <c r="AC202" s="304" t="s">
        <v>2387</v>
      </c>
      <c r="AD202" s="272">
        <v>44757</v>
      </c>
      <c r="AE202" s="265"/>
      <c r="AF202" s="305" t="str">
        <f>+IF(AD202="","",TEXT(AD202,"mmm"))</f>
        <v>jul</v>
      </c>
      <c r="AG202" s="306">
        <f>+AD202-E202</f>
        <v>109</v>
      </c>
      <c r="AH202" s="307">
        <f>+AD202-V202</f>
        <v>102</v>
      </c>
      <c r="AI202" s="265" t="s">
        <v>2388</v>
      </c>
      <c r="AJ202" s="265" t="s">
        <v>171</v>
      </c>
      <c r="AK202" s="265"/>
      <c r="AL202" s="265"/>
      <c r="AM202" s="265"/>
      <c r="AN202" s="309"/>
      <c r="AO202" s="269"/>
      <c r="AP202" s="265"/>
      <c r="AQ202" s="309" t="e">
        <f>+I202-AN202</f>
        <v>#VALUE!</v>
      </c>
      <c r="AR202" s="289"/>
      <c r="AS202" s="269"/>
      <c r="AT202" s="265"/>
      <c r="AU202" s="260"/>
      <c r="AV202" s="260"/>
      <c r="AW202" s="200"/>
      <c r="AX202" s="200"/>
      <c r="AY202" s="200"/>
      <c r="AZ202" s="139">
        <f t="shared" si="51"/>
        <v>1</v>
      </c>
      <c r="BA202" s="200"/>
      <c r="BB202" s="200"/>
      <c r="BC202" s="3"/>
      <c r="BD202" s="95"/>
      <c r="BE202" s="2"/>
    </row>
    <row r="203" spans="2:58" ht="43.9" customHeight="1" x14ac:dyDescent="0.25">
      <c r="B203" s="100">
        <f t="shared" si="49"/>
        <v>185</v>
      </c>
      <c r="C203" s="110" t="s">
        <v>1464</v>
      </c>
      <c r="D203" s="99" t="s">
        <v>28</v>
      </c>
      <c r="E203" s="142">
        <v>44648</v>
      </c>
      <c r="F203" s="268" t="s">
        <v>4433</v>
      </c>
      <c r="G203" s="96" t="s">
        <v>1465</v>
      </c>
      <c r="H203" s="99" t="s">
        <v>1466</v>
      </c>
      <c r="I203" s="96" t="s">
        <v>1224</v>
      </c>
      <c r="J203" s="133" t="s">
        <v>1467</v>
      </c>
      <c r="K203" s="343">
        <v>235970077</v>
      </c>
      <c r="L203" s="99"/>
      <c r="M203" s="99" t="s">
        <v>146</v>
      </c>
      <c r="N203" s="99"/>
      <c r="O203" s="99" t="s">
        <v>1468</v>
      </c>
      <c r="P203" s="169"/>
      <c r="Q203" s="96" t="s">
        <v>146</v>
      </c>
      <c r="R203" s="96" t="s">
        <v>146</v>
      </c>
      <c r="S203" s="111" t="s">
        <v>146</v>
      </c>
      <c r="T203" s="96" t="s">
        <v>230</v>
      </c>
      <c r="U203" s="96" t="s">
        <v>29</v>
      </c>
      <c r="V203" s="119">
        <v>44649</v>
      </c>
      <c r="W203" s="170">
        <v>170</v>
      </c>
      <c r="X203" s="170">
        <v>169</v>
      </c>
      <c r="Y203" s="99"/>
      <c r="Z203" s="96" t="s">
        <v>168</v>
      </c>
      <c r="AA203" s="96" t="s">
        <v>169</v>
      </c>
      <c r="AB203" s="96" t="s">
        <v>2081</v>
      </c>
      <c r="AC203" s="96"/>
      <c r="AD203" s="97">
        <v>44725</v>
      </c>
      <c r="AE203" s="183" t="s">
        <v>4438</v>
      </c>
      <c r="AF203" s="171"/>
      <c r="AG203" s="170">
        <v>-44648</v>
      </c>
      <c r="AH203" s="144">
        <v>-44649</v>
      </c>
      <c r="AI203" s="99" t="s">
        <v>146</v>
      </c>
      <c r="AJ203" s="96" t="s">
        <v>171</v>
      </c>
      <c r="AK203" s="96" t="s">
        <v>3512</v>
      </c>
      <c r="AL203" s="99"/>
      <c r="AM203" s="215">
        <v>207306980</v>
      </c>
      <c r="AN203" s="96" t="s">
        <v>3513</v>
      </c>
      <c r="AO203" s="99"/>
      <c r="AP203" s="181">
        <f t="shared" ref="AP203:AP204" si="73">+K203-AM203</f>
        <v>28663097</v>
      </c>
      <c r="AQ203" s="138"/>
      <c r="AR203" s="138"/>
      <c r="AS203" s="99"/>
      <c r="AT203" s="99"/>
      <c r="AU203" s="138"/>
      <c r="AV203" s="99"/>
      <c r="AW203" s="99"/>
      <c r="AX203" s="96" t="s">
        <v>2441</v>
      </c>
      <c r="AY203" s="167">
        <f t="shared" ref="AY203:AY204" si="74">+AP203/K203</f>
        <v>0.12146920221583858</v>
      </c>
      <c r="AZ203" s="139">
        <f t="shared" si="51"/>
        <v>1</v>
      </c>
      <c r="BA203" s="139">
        <f>IF(T203="Invitación Privada",1,IF(T203="Invitación Pública",2,0))</f>
        <v>0</v>
      </c>
      <c r="BB203" s="132">
        <f>IF(AA203="CONTRATADO",IF(BA203=1,NETWORKDAYS.INTL(E203,AD203,1,[1]FESTIVOS!$B$3:$B$10)-1,AD203-E203))-BD203</f>
        <v>77</v>
      </c>
      <c r="BC203" s="156"/>
      <c r="BD203" s="162"/>
      <c r="BE203" s="163"/>
      <c r="BF203" s="160"/>
    </row>
    <row r="204" spans="2:58" ht="43.9" customHeight="1" x14ac:dyDescent="0.25">
      <c r="B204" s="100">
        <f t="shared" si="49"/>
        <v>186</v>
      </c>
      <c r="C204" s="110" t="s">
        <v>1469</v>
      </c>
      <c r="D204" s="99" t="s">
        <v>32</v>
      </c>
      <c r="E204" s="140">
        <v>44649</v>
      </c>
      <c r="F204" s="268" t="s">
        <v>4433</v>
      </c>
      <c r="G204" s="96" t="s">
        <v>1470</v>
      </c>
      <c r="H204" s="99" t="s">
        <v>1471</v>
      </c>
      <c r="I204" s="96" t="s">
        <v>226</v>
      </c>
      <c r="J204" s="133" t="s">
        <v>1472</v>
      </c>
      <c r="K204" s="341">
        <v>3314177182.1052632</v>
      </c>
      <c r="L204" s="99" t="s">
        <v>283</v>
      </c>
      <c r="M204" s="99" t="s">
        <v>146</v>
      </c>
      <c r="N204" s="99"/>
      <c r="O204" s="99">
        <v>202202730</v>
      </c>
      <c r="P204" s="172">
        <v>3361186773</v>
      </c>
      <c r="Q204" s="96" t="s">
        <v>146</v>
      </c>
      <c r="R204" s="96" t="s">
        <v>146</v>
      </c>
      <c r="S204" s="111" t="s">
        <v>146</v>
      </c>
      <c r="T204" s="96" t="s">
        <v>230</v>
      </c>
      <c r="U204" s="96" t="s">
        <v>35</v>
      </c>
      <c r="V204" s="97">
        <v>44650</v>
      </c>
      <c r="W204" s="166">
        <v>65</v>
      </c>
      <c r="X204" s="166">
        <v>64</v>
      </c>
      <c r="Y204" s="99" t="s">
        <v>1317</v>
      </c>
      <c r="Z204" s="96" t="s">
        <v>168</v>
      </c>
      <c r="AA204" s="96" t="s">
        <v>169</v>
      </c>
      <c r="AB204" s="96" t="s">
        <v>1847</v>
      </c>
      <c r="AC204" s="99"/>
      <c r="AD204" s="97">
        <v>44686</v>
      </c>
      <c r="AE204" s="362" t="s">
        <v>4435</v>
      </c>
      <c r="AF204" s="98"/>
      <c r="AG204" s="166">
        <v>37</v>
      </c>
      <c r="AH204" s="166">
        <v>36</v>
      </c>
      <c r="AI204" s="99" t="s">
        <v>146</v>
      </c>
      <c r="AJ204" s="96" t="s">
        <v>155</v>
      </c>
      <c r="AK204" s="96" t="s">
        <v>1848</v>
      </c>
      <c r="AL204" s="97">
        <v>44673</v>
      </c>
      <c r="AM204" s="215">
        <v>3148468323</v>
      </c>
      <c r="AN204" s="96" t="s">
        <v>1849</v>
      </c>
      <c r="AO204" s="96"/>
      <c r="AP204" s="181">
        <f t="shared" si="73"/>
        <v>165708859.10526323</v>
      </c>
      <c r="AQ204" s="138"/>
      <c r="AR204" s="138"/>
      <c r="AS204" s="99" t="s">
        <v>1850</v>
      </c>
      <c r="AT204" s="99"/>
      <c r="AU204" s="138"/>
      <c r="AV204" s="99" t="s">
        <v>1001</v>
      </c>
      <c r="AW204" s="99" t="s">
        <v>1002</v>
      </c>
      <c r="AX204" s="99"/>
      <c r="AY204" s="167">
        <f t="shared" si="74"/>
        <v>5.0000000000000024E-2</v>
      </c>
      <c r="AZ204" s="139">
        <f t="shared" si="51"/>
        <v>1</v>
      </c>
      <c r="BA204" s="139">
        <f>IF(T204="Invitación Privada",1,IF(T204="Invitación Pública",2,0))</f>
        <v>0</v>
      </c>
      <c r="BB204" s="132">
        <f>IF(AA204="CONTRATADO",IF(BA204=1,NETWORKDAYS.INTL(E204,AD204,1,[1]FESTIVOS!$B$3:$B$10)-1,AD204-E204))-BD204</f>
        <v>37</v>
      </c>
      <c r="BC204" s="156"/>
      <c r="BD204" s="162">
        <v>0</v>
      </c>
      <c r="BE204" s="382" t="s">
        <v>2052</v>
      </c>
    </row>
    <row r="205" spans="2:58" ht="43.9" customHeight="1" x14ac:dyDescent="0.25">
      <c r="B205" s="100">
        <f t="shared" si="49"/>
        <v>187</v>
      </c>
      <c r="C205" s="293" t="s">
        <v>1473</v>
      </c>
      <c r="D205" s="265" t="s">
        <v>28</v>
      </c>
      <c r="E205" s="272">
        <v>44649</v>
      </c>
      <c r="F205" s="268" t="s">
        <v>4433</v>
      </c>
      <c r="G205" s="269" t="s">
        <v>146</v>
      </c>
      <c r="H205" s="265" t="s">
        <v>1474</v>
      </c>
      <c r="I205" s="265" t="s">
        <v>146</v>
      </c>
      <c r="J205" s="269" t="s">
        <v>1475</v>
      </c>
      <c r="K205" s="342" t="s">
        <v>146</v>
      </c>
      <c r="L205" s="296"/>
      <c r="M205" s="265" t="s">
        <v>1587</v>
      </c>
      <c r="N205" s="302" t="str">
        <f>MID(M205,5,3)</f>
        <v>IPU</v>
      </c>
      <c r="O205" s="265" t="s">
        <v>146</v>
      </c>
      <c r="P205" s="271" t="s">
        <v>146</v>
      </c>
      <c r="Q205" s="265" t="s">
        <v>146</v>
      </c>
      <c r="R205" s="265" t="s">
        <v>146</v>
      </c>
      <c r="S205" s="312" t="s">
        <v>146</v>
      </c>
      <c r="T205" s="111" t="s">
        <v>40</v>
      </c>
      <c r="U205" s="269" t="s">
        <v>151</v>
      </c>
      <c r="V205" s="285">
        <v>44652</v>
      </c>
      <c r="W205" s="303" t="e">
        <f>+$D$4-E205</f>
        <v>#VALUE!</v>
      </c>
      <c r="X205" s="303" t="e">
        <f>$D$4-V205</f>
        <v>#VALUE!</v>
      </c>
      <c r="Y205" s="265" t="s">
        <v>1300</v>
      </c>
      <c r="Z205" s="265" t="s">
        <v>2417</v>
      </c>
      <c r="AA205" s="265" t="s">
        <v>215</v>
      </c>
      <c r="AB205" s="265"/>
      <c r="AC205" s="304" t="s">
        <v>2418</v>
      </c>
      <c r="AD205" s="272">
        <v>44775</v>
      </c>
      <c r="AE205" s="265"/>
      <c r="AF205" s="305" t="str">
        <f>+IF(AD205="","",TEXT(AD205,"mmm"))</f>
        <v>ago</v>
      </c>
      <c r="AG205" s="306">
        <f>+AD205-E205</f>
        <v>126</v>
      </c>
      <c r="AH205" s="307">
        <f>+AD205-V205</f>
        <v>123</v>
      </c>
      <c r="AI205" s="265"/>
      <c r="AJ205" s="265" t="s">
        <v>171</v>
      </c>
      <c r="AK205" s="265"/>
      <c r="AL205" s="265"/>
      <c r="AM205" s="309"/>
      <c r="AN205" s="269"/>
      <c r="AO205" s="265"/>
      <c r="AP205" s="309" t="e">
        <f>+I205-AM205</f>
        <v>#VALUE!</v>
      </c>
      <c r="AQ205" s="289"/>
      <c r="AR205" s="269"/>
      <c r="AS205" s="265"/>
      <c r="AT205" s="260"/>
      <c r="AU205" s="260"/>
      <c r="AV205" s="200"/>
      <c r="AW205" s="200"/>
      <c r="AX205" s="200"/>
      <c r="AY205" s="200"/>
      <c r="AZ205" s="139">
        <f t="shared" si="51"/>
        <v>1</v>
      </c>
      <c r="BA205" s="200"/>
      <c r="BB205" s="203"/>
      <c r="BC205" s="95"/>
      <c r="BD205" s="2"/>
      <c r="BE205" s="2"/>
      <c r="BF205" s="160"/>
    </row>
    <row r="206" spans="2:58" ht="43.9" customHeight="1" x14ac:dyDescent="0.25">
      <c r="B206" s="100">
        <f t="shared" si="49"/>
        <v>188</v>
      </c>
      <c r="C206" s="293" t="s">
        <v>1476</v>
      </c>
      <c r="D206" s="265" t="s">
        <v>28</v>
      </c>
      <c r="E206" s="272">
        <v>44649</v>
      </c>
      <c r="F206" s="268" t="s">
        <v>4433</v>
      </c>
      <c r="G206" s="269" t="s">
        <v>146</v>
      </c>
      <c r="H206" s="265" t="s">
        <v>1477</v>
      </c>
      <c r="I206" s="265" t="s">
        <v>146</v>
      </c>
      <c r="J206" s="269" t="s">
        <v>1478</v>
      </c>
      <c r="K206" s="342" t="s">
        <v>146</v>
      </c>
      <c r="L206" s="296"/>
      <c r="M206" s="265" t="s">
        <v>1587</v>
      </c>
      <c r="N206" s="302" t="str">
        <f>MID(M206,5,3)</f>
        <v>IPU</v>
      </c>
      <c r="O206" s="265" t="s">
        <v>146</v>
      </c>
      <c r="P206" s="271"/>
      <c r="Q206" s="265" t="s">
        <v>146</v>
      </c>
      <c r="R206" s="265" t="s">
        <v>146</v>
      </c>
      <c r="S206" s="312" t="s">
        <v>146</v>
      </c>
      <c r="T206" s="111" t="s">
        <v>40</v>
      </c>
      <c r="U206" s="269" t="s">
        <v>151</v>
      </c>
      <c r="V206" s="285">
        <v>44652</v>
      </c>
      <c r="W206" s="303" t="e">
        <f>+$D$4-E206</f>
        <v>#VALUE!</v>
      </c>
      <c r="X206" s="303" t="e">
        <f>$D$4-V206</f>
        <v>#VALUE!</v>
      </c>
      <c r="Y206" s="265" t="s">
        <v>1300</v>
      </c>
      <c r="Z206" s="265" t="s">
        <v>2417</v>
      </c>
      <c r="AA206" s="265" t="s">
        <v>215</v>
      </c>
      <c r="AB206" s="265"/>
      <c r="AC206" s="304" t="s">
        <v>2419</v>
      </c>
      <c r="AD206" s="272">
        <v>44775</v>
      </c>
      <c r="AE206" s="265"/>
      <c r="AF206" s="305" t="str">
        <f>+IF(AD206="","",TEXT(AD206,"mmm"))</f>
        <v>ago</v>
      </c>
      <c r="AG206" s="306">
        <f>+AD206-E206</f>
        <v>126</v>
      </c>
      <c r="AH206" s="307">
        <f>+AD206-V206</f>
        <v>123</v>
      </c>
      <c r="AI206" s="265"/>
      <c r="AJ206" s="265" t="s">
        <v>171</v>
      </c>
      <c r="AK206" s="265"/>
      <c r="AL206" s="265"/>
      <c r="AM206" s="309"/>
      <c r="AN206" s="269"/>
      <c r="AO206" s="265"/>
      <c r="AP206" s="309" t="e">
        <f>+I206-AM206</f>
        <v>#VALUE!</v>
      </c>
      <c r="AQ206" s="289"/>
      <c r="AR206" s="269"/>
      <c r="AS206" s="265"/>
      <c r="AT206" s="260"/>
      <c r="AU206" s="260"/>
      <c r="AV206" s="200"/>
      <c r="AW206" s="200"/>
      <c r="AX206" s="200"/>
      <c r="AY206" s="200"/>
      <c r="AZ206" s="139">
        <f t="shared" si="51"/>
        <v>1</v>
      </c>
      <c r="BA206" s="200"/>
      <c r="BB206" s="203"/>
      <c r="BC206" s="95"/>
      <c r="BD206" s="2"/>
      <c r="BE206" s="2"/>
    </row>
    <row r="207" spans="2:58" ht="43.9" customHeight="1" x14ac:dyDescent="0.25">
      <c r="B207" s="100">
        <f t="shared" si="49"/>
        <v>189</v>
      </c>
      <c r="C207" s="293" t="s">
        <v>1479</v>
      </c>
      <c r="D207" s="265" t="s">
        <v>28</v>
      </c>
      <c r="E207" s="272">
        <v>44649</v>
      </c>
      <c r="F207" s="268" t="s">
        <v>4433</v>
      </c>
      <c r="G207" s="269" t="s">
        <v>146</v>
      </c>
      <c r="H207" s="265" t="s">
        <v>1480</v>
      </c>
      <c r="I207" s="265" t="s">
        <v>146</v>
      </c>
      <c r="J207" s="269" t="s">
        <v>1481</v>
      </c>
      <c r="K207" s="342" t="s">
        <v>146</v>
      </c>
      <c r="L207" s="296"/>
      <c r="M207" s="265" t="s">
        <v>1587</v>
      </c>
      <c r="N207" s="302" t="str">
        <f>MID(M207,5,3)</f>
        <v>IPU</v>
      </c>
      <c r="O207" s="265" t="s">
        <v>146</v>
      </c>
      <c r="P207" s="271"/>
      <c r="Q207" s="265" t="s">
        <v>146</v>
      </c>
      <c r="R207" s="265" t="s">
        <v>146</v>
      </c>
      <c r="S207" s="312" t="s">
        <v>146</v>
      </c>
      <c r="T207" s="111" t="s">
        <v>40</v>
      </c>
      <c r="U207" s="269" t="s">
        <v>151</v>
      </c>
      <c r="V207" s="285">
        <v>44652</v>
      </c>
      <c r="W207" s="303" t="e">
        <f>+$D$4-E207</f>
        <v>#VALUE!</v>
      </c>
      <c r="X207" s="303" t="e">
        <f>$D$4-V207</f>
        <v>#VALUE!</v>
      </c>
      <c r="Y207" s="265" t="s">
        <v>1300</v>
      </c>
      <c r="Z207" s="265" t="s">
        <v>214</v>
      </c>
      <c r="AA207" s="265" t="s">
        <v>215</v>
      </c>
      <c r="AB207" s="265"/>
      <c r="AC207" s="304" t="s">
        <v>2442</v>
      </c>
      <c r="AD207" s="272">
        <v>44782</v>
      </c>
      <c r="AE207" s="272"/>
      <c r="AF207" s="305" t="str">
        <f>+IF(AD207="","",TEXT(AD207,"mmm"))</f>
        <v>ago</v>
      </c>
      <c r="AG207" s="306">
        <f>+AD207-E207</f>
        <v>133</v>
      </c>
      <c r="AH207" s="307">
        <f>+AD207-V207</f>
        <v>130</v>
      </c>
      <c r="AI207" s="265"/>
      <c r="AJ207" s="265" t="s">
        <v>171</v>
      </c>
      <c r="AK207" s="265"/>
      <c r="AL207" s="265"/>
      <c r="AM207" s="309"/>
      <c r="AN207" s="269"/>
      <c r="AO207" s="265"/>
      <c r="AP207" s="309" t="e">
        <f>+J207-AM207</f>
        <v>#VALUE!</v>
      </c>
      <c r="AQ207" s="289"/>
      <c r="AR207" s="269"/>
      <c r="AS207" s="265"/>
      <c r="AT207" s="260"/>
      <c r="AU207" s="260"/>
      <c r="AV207" s="200"/>
      <c r="AW207" s="200"/>
      <c r="AX207" s="200"/>
      <c r="AY207" s="200"/>
      <c r="AZ207" s="139">
        <f t="shared" si="51"/>
        <v>1</v>
      </c>
      <c r="BA207" s="200"/>
      <c r="BB207" s="203"/>
      <c r="BC207" s="95"/>
      <c r="BD207" s="2"/>
      <c r="BE207" s="2"/>
      <c r="BF207" s="160"/>
    </row>
    <row r="208" spans="2:58" ht="43.9" customHeight="1" x14ac:dyDescent="0.25">
      <c r="B208" s="100">
        <f t="shared" si="49"/>
        <v>190</v>
      </c>
      <c r="C208" s="293" t="s">
        <v>1482</v>
      </c>
      <c r="D208" s="265" t="s">
        <v>28</v>
      </c>
      <c r="E208" s="272">
        <v>44649</v>
      </c>
      <c r="F208" s="268" t="s">
        <v>4433</v>
      </c>
      <c r="G208" s="269" t="s">
        <v>146</v>
      </c>
      <c r="H208" s="265" t="s">
        <v>1483</v>
      </c>
      <c r="I208" s="265" t="s">
        <v>146</v>
      </c>
      <c r="J208" s="269" t="s">
        <v>1484</v>
      </c>
      <c r="K208" s="342" t="s">
        <v>146</v>
      </c>
      <c r="L208" s="296"/>
      <c r="M208" s="265" t="s">
        <v>1587</v>
      </c>
      <c r="N208" s="302" t="str">
        <f>MID(M208,5,3)</f>
        <v>IPU</v>
      </c>
      <c r="O208" s="265" t="s">
        <v>146</v>
      </c>
      <c r="P208" s="271"/>
      <c r="Q208" s="265" t="s">
        <v>146</v>
      </c>
      <c r="R208" s="265" t="s">
        <v>146</v>
      </c>
      <c r="S208" s="312" t="s">
        <v>146</v>
      </c>
      <c r="T208" s="111" t="s">
        <v>40</v>
      </c>
      <c r="U208" s="269" t="s">
        <v>151</v>
      </c>
      <c r="V208" s="285">
        <v>44652</v>
      </c>
      <c r="W208" s="303" t="e">
        <f>+$D$4-E208</f>
        <v>#VALUE!</v>
      </c>
      <c r="X208" s="303" t="e">
        <f>$D$4-V208</f>
        <v>#VALUE!</v>
      </c>
      <c r="Y208" s="265" t="s">
        <v>1300</v>
      </c>
      <c r="Z208" s="265" t="s">
        <v>2417</v>
      </c>
      <c r="AA208" s="265" t="s">
        <v>215</v>
      </c>
      <c r="AB208" s="265"/>
      <c r="AC208" s="304" t="s">
        <v>2420</v>
      </c>
      <c r="AD208" s="272">
        <v>44775</v>
      </c>
      <c r="AE208" s="265"/>
      <c r="AF208" s="305" t="str">
        <f>+IF(AD208="","",TEXT(AD208,"mmm"))</f>
        <v>ago</v>
      </c>
      <c r="AG208" s="306">
        <f>+AD208-E208</f>
        <v>126</v>
      </c>
      <c r="AH208" s="307">
        <f>+AD208-V208</f>
        <v>123</v>
      </c>
      <c r="AI208" s="265"/>
      <c r="AJ208" s="265" t="s">
        <v>171</v>
      </c>
      <c r="AK208" s="265"/>
      <c r="AL208" s="265"/>
      <c r="AM208" s="309"/>
      <c r="AN208" s="269"/>
      <c r="AO208" s="265"/>
      <c r="AP208" s="309" t="e">
        <f>+J208-AM208</f>
        <v>#VALUE!</v>
      </c>
      <c r="AQ208" s="289"/>
      <c r="AR208" s="269"/>
      <c r="AS208" s="265"/>
      <c r="AT208" s="260"/>
      <c r="AU208" s="260"/>
      <c r="AV208" s="200"/>
      <c r="AW208" s="200"/>
      <c r="AX208" s="200"/>
      <c r="AY208" s="200"/>
      <c r="AZ208" s="139">
        <f t="shared" si="51"/>
        <v>1</v>
      </c>
      <c r="BA208" s="200"/>
      <c r="BB208" s="203"/>
      <c r="BC208" s="95"/>
      <c r="BD208" s="2"/>
      <c r="BE208" s="2"/>
    </row>
    <row r="209" spans="2:58" ht="43.9" customHeight="1" x14ac:dyDescent="0.25">
      <c r="B209" s="100">
        <f t="shared" si="49"/>
        <v>191</v>
      </c>
      <c r="C209" s="110" t="s">
        <v>1485</v>
      </c>
      <c r="D209" s="99" t="s">
        <v>28</v>
      </c>
      <c r="E209" s="142">
        <v>44649</v>
      </c>
      <c r="F209" s="268" t="s">
        <v>4433</v>
      </c>
      <c r="G209" s="96" t="s">
        <v>1486</v>
      </c>
      <c r="H209" s="99" t="s">
        <v>1487</v>
      </c>
      <c r="I209" s="96" t="s">
        <v>146</v>
      </c>
      <c r="J209" s="133" t="s">
        <v>1488</v>
      </c>
      <c r="K209" s="343">
        <v>155815600</v>
      </c>
      <c r="L209" s="96" t="s">
        <v>3025</v>
      </c>
      <c r="M209" s="99" t="s">
        <v>1884</v>
      </c>
      <c r="N209" s="99"/>
      <c r="O209" s="99">
        <v>202202922</v>
      </c>
      <c r="P209" s="169"/>
      <c r="Q209" s="96" t="s">
        <v>146</v>
      </c>
      <c r="R209" s="96" t="s">
        <v>146</v>
      </c>
      <c r="S209" s="96" t="s">
        <v>1561</v>
      </c>
      <c r="T209" s="111" t="s">
        <v>40</v>
      </c>
      <c r="U209" s="96" t="s">
        <v>572</v>
      </c>
      <c r="V209" s="119">
        <v>44655</v>
      </c>
      <c r="W209" s="170">
        <v>169</v>
      </c>
      <c r="X209" s="170">
        <v>163</v>
      </c>
      <c r="Y209" s="99" t="s">
        <v>1317</v>
      </c>
      <c r="Z209" s="96" t="s">
        <v>168</v>
      </c>
      <c r="AA209" s="96" t="s">
        <v>169</v>
      </c>
      <c r="AB209" s="96" t="s">
        <v>2443</v>
      </c>
      <c r="AC209" s="99"/>
      <c r="AD209" s="97">
        <v>44790</v>
      </c>
      <c r="AE209" s="183" t="s">
        <v>4438</v>
      </c>
      <c r="AF209" s="171"/>
      <c r="AG209" s="170">
        <v>141</v>
      </c>
      <c r="AH209" s="144">
        <v>135</v>
      </c>
      <c r="AI209" s="99" t="s">
        <v>146</v>
      </c>
      <c r="AJ209" s="96" t="s">
        <v>155</v>
      </c>
      <c r="AK209" s="99" t="s">
        <v>3406</v>
      </c>
      <c r="AL209" s="97">
        <v>44781</v>
      </c>
      <c r="AM209" s="211">
        <v>149772663</v>
      </c>
      <c r="AN209" s="96" t="s">
        <v>3407</v>
      </c>
      <c r="AO209" s="99"/>
      <c r="AP209" s="181">
        <f t="shared" ref="AP209:AP210" si="75">+K209-AM209</f>
        <v>6042937</v>
      </c>
      <c r="AQ209" s="138"/>
      <c r="AR209" s="138"/>
      <c r="AS209" s="99"/>
      <c r="AT209" s="99"/>
      <c r="AU209" s="138"/>
      <c r="AV209" s="99"/>
      <c r="AW209" s="99"/>
      <c r="AX209" s="96" t="s">
        <v>2379</v>
      </c>
      <c r="AY209" s="167">
        <f t="shared" ref="AY209:AY210" si="76">+AP209/K209</f>
        <v>3.8782618685163743E-2</v>
      </c>
      <c r="AZ209" s="139">
        <f t="shared" si="51"/>
        <v>1</v>
      </c>
      <c r="BA209" s="139">
        <f>IF(T209="Invitación Privada",1,IF(T209="Invitación Pública",2,0))</f>
        <v>2</v>
      </c>
      <c r="BB209" s="132">
        <f>IF(AA209="CONTRATADO",IF(BA209=1,NETWORKDAYS.INTL(E209,AD209,1,[1]FESTIVOS!$B$3:$B$10)-1,AD209-E209))-BD209</f>
        <v>115</v>
      </c>
      <c r="BC209" s="156"/>
      <c r="BD209" s="162">
        <v>26</v>
      </c>
      <c r="BE209" s="163" t="s">
        <v>3515</v>
      </c>
      <c r="BF209" s="156"/>
    </row>
    <row r="210" spans="2:58" ht="43.9" customHeight="1" x14ac:dyDescent="0.25">
      <c r="B210" s="100">
        <f t="shared" si="49"/>
        <v>192</v>
      </c>
      <c r="C210" s="110" t="s">
        <v>1489</v>
      </c>
      <c r="D210" s="99" t="s">
        <v>28</v>
      </c>
      <c r="E210" s="189">
        <v>44649</v>
      </c>
      <c r="F210" s="268" t="s">
        <v>4433</v>
      </c>
      <c r="G210" s="96" t="s">
        <v>1490</v>
      </c>
      <c r="H210" s="99" t="s">
        <v>1491</v>
      </c>
      <c r="I210" s="96" t="s">
        <v>146</v>
      </c>
      <c r="J210" s="133" t="s">
        <v>1492</v>
      </c>
      <c r="K210" s="344">
        <v>357751462</v>
      </c>
      <c r="L210" s="194" t="s">
        <v>228</v>
      </c>
      <c r="M210" s="99" t="s">
        <v>2451</v>
      </c>
      <c r="N210" s="99"/>
      <c r="O210" s="99">
        <v>202202910</v>
      </c>
      <c r="P210" s="190">
        <v>357751462</v>
      </c>
      <c r="Q210" s="96" t="s">
        <v>146</v>
      </c>
      <c r="R210" s="96" t="s">
        <v>146</v>
      </c>
      <c r="S210" s="96" t="s">
        <v>1561</v>
      </c>
      <c r="T210" s="111" t="s">
        <v>40</v>
      </c>
      <c r="U210" s="111" t="s">
        <v>187</v>
      </c>
      <c r="V210" s="192">
        <v>44655</v>
      </c>
      <c r="W210" s="186" t="e">
        <f>+$D$4-E210</f>
        <v>#VALUE!</v>
      </c>
      <c r="X210" s="186" t="e">
        <f>$D$4-V210</f>
        <v>#VALUE!</v>
      </c>
      <c r="Y210" s="99" t="s">
        <v>1317</v>
      </c>
      <c r="Z210" s="96" t="s">
        <v>168</v>
      </c>
      <c r="AA210" s="96" t="s">
        <v>169</v>
      </c>
      <c r="AB210" s="96" t="s">
        <v>2444</v>
      </c>
      <c r="AC210" s="99"/>
      <c r="AD210" s="97">
        <v>44806</v>
      </c>
      <c r="AE210" s="183" t="s">
        <v>4262</v>
      </c>
      <c r="AF210" s="183"/>
      <c r="AG210" s="186">
        <f>+AD210-E210</f>
        <v>157</v>
      </c>
      <c r="AH210" s="187">
        <f>+AD210-V210</f>
        <v>151</v>
      </c>
      <c r="AI210" s="99" t="s">
        <v>146</v>
      </c>
      <c r="AJ210" s="96" t="s">
        <v>155</v>
      </c>
      <c r="AK210" s="99" t="s">
        <v>3674</v>
      </c>
      <c r="AL210" s="97">
        <v>44792</v>
      </c>
      <c r="AM210" s="209">
        <v>345825900</v>
      </c>
      <c r="AN210" s="96" t="s">
        <v>3675</v>
      </c>
      <c r="AO210" s="99">
        <v>202208262</v>
      </c>
      <c r="AP210" s="181">
        <f t="shared" si="75"/>
        <v>11925562</v>
      </c>
      <c r="AQ210" s="193"/>
      <c r="AR210" s="193"/>
      <c r="AS210" s="99"/>
      <c r="AT210" s="99"/>
      <c r="AU210" s="193"/>
      <c r="AV210" s="99" t="s">
        <v>174</v>
      </c>
      <c r="AW210" s="99" t="s">
        <v>175</v>
      </c>
      <c r="AX210" s="96" t="s">
        <v>2379</v>
      </c>
      <c r="AY210" s="167">
        <f t="shared" si="76"/>
        <v>3.3334768035133841E-2</v>
      </c>
      <c r="AZ210" s="139">
        <f t="shared" si="51"/>
        <v>1</v>
      </c>
      <c r="BA210" s="139">
        <f>IF(T210="Invitación Privada",1,IF(T210="Invitación Pública",2,0))</f>
        <v>2</v>
      </c>
      <c r="BB210" s="132">
        <f>IF(AA210="CONTRATADO",IF(BA210=1,NETWORKDAYS.INTL(E210,AD210,1,[1]FESTIVOS!$B$3:$B$10)-1,AD210-E210))-BD210</f>
        <v>109</v>
      </c>
      <c r="BD210" s="207">
        <v>48</v>
      </c>
      <c r="BE210" s="208" t="s">
        <v>3908</v>
      </c>
      <c r="BF210" s="76"/>
    </row>
    <row r="211" spans="2:58" ht="43.9" customHeight="1" x14ac:dyDescent="0.25">
      <c r="B211" s="100">
        <f t="shared" si="49"/>
        <v>193</v>
      </c>
      <c r="C211" s="293" t="s">
        <v>1493</v>
      </c>
      <c r="D211" s="265" t="s">
        <v>332</v>
      </c>
      <c r="E211" s="272">
        <v>44650</v>
      </c>
      <c r="F211" s="268" t="s">
        <v>4433</v>
      </c>
      <c r="G211" s="269" t="s">
        <v>1494</v>
      </c>
      <c r="H211" s="265" t="s">
        <v>1495</v>
      </c>
      <c r="I211" s="265" t="s">
        <v>146</v>
      </c>
      <c r="J211" s="269" t="s">
        <v>1496</v>
      </c>
      <c r="K211" s="342">
        <v>113330053</v>
      </c>
      <c r="L211" s="282"/>
      <c r="M211" s="265" t="s">
        <v>1408</v>
      </c>
      <c r="N211" s="302" t="str">
        <f>MID(M211,5,3)</f>
        <v>IPU</v>
      </c>
      <c r="O211" s="265" t="s">
        <v>1497</v>
      </c>
      <c r="P211" s="271"/>
      <c r="Q211" s="265" t="s">
        <v>146</v>
      </c>
      <c r="R211" s="265" t="s">
        <v>146</v>
      </c>
      <c r="S211" s="265" t="s">
        <v>1561</v>
      </c>
      <c r="T211" s="111" t="s">
        <v>40</v>
      </c>
      <c r="U211" s="269" t="s">
        <v>4012</v>
      </c>
      <c r="V211" s="285">
        <v>44652</v>
      </c>
      <c r="W211" s="303" t="e">
        <f>+$D$4-E211</f>
        <v>#VALUE!</v>
      </c>
      <c r="X211" s="303" t="e">
        <f>$D$4-V211</f>
        <v>#VALUE!</v>
      </c>
      <c r="Y211" s="265" t="s">
        <v>1300</v>
      </c>
      <c r="Z211" s="265" t="s">
        <v>152</v>
      </c>
      <c r="AA211" s="265" t="s">
        <v>153</v>
      </c>
      <c r="AB211" s="265"/>
      <c r="AC211" s="304" t="s">
        <v>2059</v>
      </c>
      <c r="AD211" s="272">
        <v>44720</v>
      </c>
      <c r="AE211" s="265"/>
      <c r="AF211" s="305" t="str">
        <f>+IF(AD211="","",TEXT(AD211,"mmm"))</f>
        <v>jun</v>
      </c>
      <c r="AG211" s="306">
        <f>+AD211-E211</f>
        <v>70</v>
      </c>
      <c r="AH211" s="307">
        <f>+AD211-V211</f>
        <v>68</v>
      </c>
      <c r="AI211" s="265"/>
      <c r="AJ211" s="265" t="s">
        <v>171</v>
      </c>
      <c r="AK211" s="265"/>
      <c r="AL211" s="265"/>
      <c r="AM211" s="265"/>
      <c r="AN211" s="309"/>
      <c r="AO211" s="269"/>
      <c r="AP211" s="265"/>
      <c r="AQ211" s="309" t="e">
        <f>+J211-AN211</f>
        <v>#VALUE!</v>
      </c>
      <c r="AR211" s="289"/>
      <c r="AS211" s="269"/>
      <c r="AT211" s="265"/>
      <c r="AU211" s="260"/>
      <c r="AV211" s="260"/>
      <c r="AW211" s="200"/>
      <c r="AX211" s="200"/>
      <c r="AY211" s="200"/>
      <c r="AZ211" s="139">
        <f t="shared" si="51"/>
        <v>0</v>
      </c>
      <c r="BA211" s="200"/>
      <c r="BB211" s="200"/>
      <c r="BC211" s="3"/>
      <c r="BD211" s="359"/>
      <c r="BE211" s="355"/>
    </row>
    <row r="212" spans="2:58" ht="43.9" customHeight="1" x14ac:dyDescent="0.25">
      <c r="B212" s="100">
        <f t="shared" ref="B212:B275" si="77">+B211+1</f>
        <v>194</v>
      </c>
      <c r="C212" s="110" t="s">
        <v>1498</v>
      </c>
      <c r="D212" s="99" t="s">
        <v>332</v>
      </c>
      <c r="E212" s="142">
        <v>44650</v>
      </c>
      <c r="F212" s="268" t="s">
        <v>4433</v>
      </c>
      <c r="G212" s="96" t="s">
        <v>1499</v>
      </c>
      <c r="H212" s="96" t="s">
        <v>1500</v>
      </c>
      <c r="I212" s="96" t="s">
        <v>146</v>
      </c>
      <c r="J212" s="133" t="s">
        <v>1501</v>
      </c>
      <c r="K212" s="343">
        <v>912574000</v>
      </c>
      <c r="L212" s="99" t="s">
        <v>3013</v>
      </c>
      <c r="M212" s="99" t="s">
        <v>1588</v>
      </c>
      <c r="N212" s="99"/>
      <c r="O212" s="99" t="s">
        <v>1502</v>
      </c>
      <c r="P212" s="169">
        <v>916700000</v>
      </c>
      <c r="Q212" s="96" t="s">
        <v>146</v>
      </c>
      <c r="R212" s="96" t="s">
        <v>146</v>
      </c>
      <c r="S212" s="99" t="s">
        <v>1560</v>
      </c>
      <c r="T212" s="111" t="s">
        <v>40</v>
      </c>
      <c r="U212" s="96" t="s">
        <v>337</v>
      </c>
      <c r="V212" s="119">
        <v>44652</v>
      </c>
      <c r="W212" s="170">
        <v>168</v>
      </c>
      <c r="X212" s="170">
        <v>166</v>
      </c>
      <c r="Y212" s="99" t="s">
        <v>1317</v>
      </c>
      <c r="Z212" s="96" t="s">
        <v>168</v>
      </c>
      <c r="AA212" s="96" t="s">
        <v>169</v>
      </c>
      <c r="AB212" s="96" t="s">
        <v>3014</v>
      </c>
      <c r="AC212" s="99"/>
      <c r="AD212" s="97">
        <v>44777</v>
      </c>
      <c r="AE212" s="183" t="s">
        <v>4438</v>
      </c>
      <c r="AF212" s="171"/>
      <c r="AG212" s="170">
        <v>127</v>
      </c>
      <c r="AH212" s="144">
        <v>125</v>
      </c>
      <c r="AI212" s="99" t="s">
        <v>146</v>
      </c>
      <c r="AJ212" s="96" t="s">
        <v>171</v>
      </c>
      <c r="AK212" s="99" t="s">
        <v>3015</v>
      </c>
      <c r="AL212" s="97">
        <v>44768</v>
      </c>
      <c r="AM212" s="211">
        <v>830487000</v>
      </c>
      <c r="AN212" s="96" t="s">
        <v>3016</v>
      </c>
      <c r="AO212" s="99">
        <v>202207259</v>
      </c>
      <c r="AP212" s="181">
        <f t="shared" ref="AP212:AP214" si="78">+K212-AM212</f>
        <v>82087000</v>
      </c>
      <c r="AQ212" s="138"/>
      <c r="AR212" s="138"/>
      <c r="AS212" s="99"/>
      <c r="AT212" s="99"/>
      <c r="AU212" s="138"/>
      <c r="AV212" s="99" t="s">
        <v>3017</v>
      </c>
      <c r="AW212" s="99" t="s">
        <v>692</v>
      </c>
      <c r="AX212" s="96" t="s">
        <v>2385</v>
      </c>
      <c r="AY212" s="167">
        <f t="shared" ref="AY212:AY214" si="79">+AP212/K212</f>
        <v>8.9951061502957563E-2</v>
      </c>
      <c r="AZ212" s="139">
        <f t="shared" si="51"/>
        <v>0</v>
      </c>
      <c r="BA212" s="139">
        <f>IF(T212="Invitación Privada",1,IF(T212="Invitación Pública",2,0))</f>
        <v>2</v>
      </c>
      <c r="BB212" s="132">
        <f>IF(AA212="CONTRATADO",IF(BA212=1,NETWORKDAYS.INTL(E212,AD212,1,[1]FESTIVOS!$B$3:$B$10)-1,AD212-E212))-BD212</f>
        <v>101</v>
      </c>
      <c r="BC212" s="156"/>
      <c r="BD212" s="162">
        <v>26</v>
      </c>
      <c r="BE212" s="163" t="s">
        <v>3515</v>
      </c>
      <c r="BF212" s="76"/>
    </row>
    <row r="213" spans="2:58" ht="43.9" customHeight="1" x14ac:dyDescent="0.25">
      <c r="B213" s="100">
        <f t="shared" si="77"/>
        <v>195</v>
      </c>
      <c r="C213" s="110" t="s">
        <v>1503</v>
      </c>
      <c r="D213" s="99" t="s">
        <v>332</v>
      </c>
      <c r="E213" s="142">
        <v>44650</v>
      </c>
      <c r="F213" s="268" t="s">
        <v>4433</v>
      </c>
      <c r="G213" s="96" t="s">
        <v>791</v>
      </c>
      <c r="H213" s="96" t="s">
        <v>1504</v>
      </c>
      <c r="I213" s="96" t="s">
        <v>146</v>
      </c>
      <c r="J213" s="133" t="s">
        <v>1505</v>
      </c>
      <c r="K213" s="343">
        <v>678255048</v>
      </c>
      <c r="L213" s="99" t="s">
        <v>3025</v>
      </c>
      <c r="M213" s="99" t="s">
        <v>1589</v>
      </c>
      <c r="N213" s="99"/>
      <c r="O213" s="99">
        <v>202201828</v>
      </c>
      <c r="P213" s="169">
        <v>924139307</v>
      </c>
      <c r="Q213" s="96" t="s">
        <v>146</v>
      </c>
      <c r="R213" s="96" t="s">
        <v>146</v>
      </c>
      <c r="S213" s="99" t="s">
        <v>1560</v>
      </c>
      <c r="T213" s="111" t="s">
        <v>40</v>
      </c>
      <c r="U213" s="96" t="s">
        <v>337</v>
      </c>
      <c r="V213" s="119">
        <v>44652</v>
      </c>
      <c r="W213" s="170">
        <f>+$D$2-E213</f>
        <v>-44650</v>
      </c>
      <c r="X213" s="170">
        <f>$D$2-V213</f>
        <v>-44652</v>
      </c>
      <c r="Y213" s="99" t="s">
        <v>1317</v>
      </c>
      <c r="Z213" s="96" t="s">
        <v>168</v>
      </c>
      <c r="AA213" s="96" t="s">
        <v>169</v>
      </c>
      <c r="AB213" s="96" t="s">
        <v>2083</v>
      </c>
      <c r="AC213" s="99"/>
      <c r="AD213" s="119">
        <v>44770</v>
      </c>
      <c r="AE213" s="183" t="s">
        <v>4437</v>
      </c>
      <c r="AF213" s="171"/>
      <c r="AG213" s="170">
        <f>+AD213-E213</f>
        <v>120</v>
      </c>
      <c r="AH213" s="144">
        <f>+AD213-V213</f>
        <v>118</v>
      </c>
      <c r="AI213" s="99" t="s">
        <v>146</v>
      </c>
      <c r="AJ213" s="96" t="s">
        <v>171</v>
      </c>
      <c r="AK213" s="99" t="s">
        <v>3067</v>
      </c>
      <c r="AL213" s="97">
        <v>44764</v>
      </c>
      <c r="AM213" s="211">
        <v>678255048</v>
      </c>
      <c r="AN213" s="96" t="s">
        <v>3068</v>
      </c>
      <c r="AO213" s="99">
        <v>202207253</v>
      </c>
      <c r="AP213" s="181">
        <f t="shared" si="78"/>
        <v>0</v>
      </c>
      <c r="AQ213" s="138"/>
      <c r="AR213" s="138"/>
      <c r="AS213" s="99"/>
      <c r="AT213" s="99"/>
      <c r="AU213" s="138"/>
      <c r="AV213" s="96" t="s">
        <v>1000</v>
      </c>
      <c r="AW213" s="99" t="s">
        <v>175</v>
      </c>
      <c r="AX213" s="96" t="s">
        <v>2385</v>
      </c>
      <c r="AY213" s="167">
        <f t="shared" si="79"/>
        <v>0</v>
      </c>
      <c r="AZ213" s="139">
        <f t="shared" si="51"/>
        <v>0</v>
      </c>
      <c r="BA213" s="139">
        <f>IF(T213="Invitación Privada",1,IF(T213="Invitación Pública",2,0))</f>
        <v>2</v>
      </c>
      <c r="BB213" s="132">
        <f>IF(AA213="CONTRATADO",IF(BA213=1,NETWORKDAYS.INTL(E213,AD213,1,[1]FESTIVOS!$B$3:$B$10)-1,AD213-E213))-BD213</f>
        <v>95</v>
      </c>
      <c r="BC213" s="156"/>
      <c r="BD213" s="162">
        <v>25</v>
      </c>
      <c r="BE213" s="163" t="s">
        <v>3158</v>
      </c>
      <c r="BF213" s="156"/>
    </row>
    <row r="214" spans="2:58" ht="43.9" customHeight="1" x14ac:dyDescent="0.25">
      <c r="B214" s="100">
        <f t="shared" si="77"/>
        <v>196</v>
      </c>
      <c r="C214" s="110" t="s">
        <v>1851</v>
      </c>
      <c r="D214" s="99" t="s">
        <v>332</v>
      </c>
      <c r="E214" s="140">
        <v>44650</v>
      </c>
      <c r="F214" s="268" t="s">
        <v>4433</v>
      </c>
      <c r="G214" s="96" t="s">
        <v>1852</v>
      </c>
      <c r="H214" s="96" t="s">
        <v>1853</v>
      </c>
      <c r="I214" s="96" t="s">
        <v>1854</v>
      </c>
      <c r="J214" s="96" t="s">
        <v>1855</v>
      </c>
      <c r="K214" s="341">
        <v>1740970</v>
      </c>
      <c r="L214" s="99" t="s">
        <v>253</v>
      </c>
      <c r="M214" s="99" t="s">
        <v>146</v>
      </c>
      <c r="N214" s="99"/>
      <c r="O214" s="99">
        <v>202202755</v>
      </c>
      <c r="P214" s="173">
        <v>2000000</v>
      </c>
      <c r="Q214" s="111" t="s">
        <v>146</v>
      </c>
      <c r="R214" s="111" t="s">
        <v>146</v>
      </c>
      <c r="S214" s="111" t="s">
        <v>146</v>
      </c>
      <c r="T214" s="96" t="s">
        <v>1856</v>
      </c>
      <c r="U214" s="96" t="s">
        <v>42</v>
      </c>
      <c r="V214" s="97">
        <v>44651</v>
      </c>
      <c r="W214" s="166">
        <v>64</v>
      </c>
      <c r="X214" s="166">
        <v>63</v>
      </c>
      <c r="Y214" s="99" t="s">
        <v>1317</v>
      </c>
      <c r="Z214" s="96" t="s">
        <v>168</v>
      </c>
      <c r="AA214" s="96" t="s">
        <v>169</v>
      </c>
      <c r="AB214" s="96" t="s">
        <v>1857</v>
      </c>
      <c r="AC214" s="99"/>
      <c r="AD214" s="97">
        <v>44678</v>
      </c>
      <c r="AE214" s="362" t="s">
        <v>4435</v>
      </c>
      <c r="AF214" s="98"/>
      <c r="AG214" s="166">
        <v>28</v>
      </c>
      <c r="AH214" s="166">
        <v>27</v>
      </c>
      <c r="AI214" s="99" t="s">
        <v>146</v>
      </c>
      <c r="AJ214" s="96" t="s">
        <v>171</v>
      </c>
      <c r="AK214" s="96" t="s">
        <v>1858</v>
      </c>
      <c r="AL214" s="97">
        <v>44678</v>
      </c>
      <c r="AM214" s="211">
        <v>1323137</v>
      </c>
      <c r="AN214" s="96" t="s">
        <v>1859</v>
      </c>
      <c r="AO214" s="96"/>
      <c r="AP214" s="181">
        <f t="shared" si="78"/>
        <v>417833</v>
      </c>
      <c r="AQ214" s="138"/>
      <c r="AR214" s="138"/>
      <c r="AS214" s="99" t="s">
        <v>1860</v>
      </c>
      <c r="AT214" s="97">
        <v>44627</v>
      </c>
      <c r="AU214" s="138"/>
      <c r="AV214" s="99" t="s">
        <v>1000</v>
      </c>
      <c r="AW214" s="99" t="s">
        <v>692</v>
      </c>
      <c r="AX214" s="99"/>
      <c r="AY214" s="167">
        <f t="shared" si="79"/>
        <v>0.24000011487848727</v>
      </c>
      <c r="AZ214" s="139">
        <f t="shared" ref="AZ214:AZ277" si="80">IF(D214="GUENAA",1,IF(D214="GUENE",1,IF(D214="GUENT",1,0)))</f>
        <v>0</v>
      </c>
      <c r="BA214" s="139">
        <f>IF(T214="Invitación Privada",1,IF(T214="Invitación Pública",2,0))</f>
        <v>0</v>
      </c>
      <c r="BB214" s="132">
        <f>IF(AA214="CONTRATADO",IF(BA214=1,NETWORKDAYS.INTL(E214,AD214,1,[1]FESTIVOS!$B$3:$B$10)-1,AD214-E214))-BD214</f>
        <v>28</v>
      </c>
      <c r="BC214" s="156"/>
      <c r="BD214" s="162">
        <v>0</v>
      </c>
      <c r="BE214" s="382" t="s">
        <v>2052</v>
      </c>
    </row>
    <row r="215" spans="2:58" ht="43.9" customHeight="1" x14ac:dyDescent="0.25">
      <c r="B215" s="100">
        <f t="shared" si="77"/>
        <v>197</v>
      </c>
      <c r="C215" s="293" t="s">
        <v>1506</v>
      </c>
      <c r="D215" s="265" t="s">
        <v>28</v>
      </c>
      <c r="E215" s="272">
        <v>44651</v>
      </c>
      <c r="F215" s="268" t="s">
        <v>4433</v>
      </c>
      <c r="G215" s="269" t="s">
        <v>146</v>
      </c>
      <c r="H215" s="265" t="s">
        <v>1507</v>
      </c>
      <c r="I215" s="265" t="s">
        <v>146</v>
      </c>
      <c r="J215" s="269" t="s">
        <v>1508</v>
      </c>
      <c r="K215" s="342" t="s">
        <v>146</v>
      </c>
      <c r="L215" s="296"/>
      <c r="M215" s="265" t="s">
        <v>1587</v>
      </c>
      <c r="N215" s="302" t="str">
        <f>MID(M215,5,3)</f>
        <v>IPU</v>
      </c>
      <c r="O215" s="265" t="s">
        <v>146</v>
      </c>
      <c r="P215" s="271"/>
      <c r="Q215" s="265" t="s">
        <v>146</v>
      </c>
      <c r="R215" s="265" t="s">
        <v>146</v>
      </c>
      <c r="S215" s="312" t="s">
        <v>146</v>
      </c>
      <c r="T215" s="111" t="s">
        <v>40</v>
      </c>
      <c r="U215" s="269" t="s">
        <v>151</v>
      </c>
      <c r="V215" s="285">
        <v>44652</v>
      </c>
      <c r="W215" s="303" t="e">
        <f>+$D$4-E215</f>
        <v>#VALUE!</v>
      </c>
      <c r="X215" s="303" t="e">
        <f>$D$4-V215</f>
        <v>#VALUE!</v>
      </c>
      <c r="Y215" s="265" t="s">
        <v>1300</v>
      </c>
      <c r="Z215" s="265" t="s">
        <v>2417</v>
      </c>
      <c r="AA215" s="265" t="s">
        <v>215</v>
      </c>
      <c r="AB215" s="265"/>
      <c r="AC215" s="304" t="s">
        <v>2082</v>
      </c>
      <c r="AD215" s="272">
        <v>44722</v>
      </c>
      <c r="AE215" s="265"/>
      <c r="AF215" s="305" t="str">
        <f>+IF(AD215="","",TEXT(AD215,"mmm"))</f>
        <v>jun</v>
      </c>
      <c r="AG215" s="306">
        <f t="shared" ref="AG215:AG247" si="81">+AD215-E215</f>
        <v>71</v>
      </c>
      <c r="AH215" s="307">
        <f t="shared" ref="AH215:AH247" si="82">+AD215-V215</f>
        <v>70</v>
      </c>
      <c r="AI215" s="265"/>
      <c r="AJ215" s="265" t="s">
        <v>171</v>
      </c>
      <c r="AK215" s="265"/>
      <c r="AL215" s="265"/>
      <c r="AM215" s="309"/>
      <c r="AN215" s="269"/>
      <c r="AO215" s="265"/>
      <c r="AP215" s="309" t="e">
        <f>+J215-AM215</f>
        <v>#VALUE!</v>
      </c>
      <c r="AQ215" s="289"/>
      <c r="AR215" s="269"/>
      <c r="AS215" s="265"/>
      <c r="AT215" s="260"/>
      <c r="AU215" s="260"/>
      <c r="AV215" s="200"/>
      <c r="AW215" s="200"/>
      <c r="AX215" s="200"/>
      <c r="AY215" s="200"/>
      <c r="AZ215" s="139">
        <f t="shared" si="80"/>
        <v>1</v>
      </c>
      <c r="BA215" s="200"/>
      <c r="BB215" s="203"/>
      <c r="BC215" s="95"/>
      <c r="BD215" s="2"/>
      <c r="BE215" s="2"/>
      <c r="BF215" s="160"/>
    </row>
    <row r="216" spans="2:58" ht="43.9" customHeight="1" x14ac:dyDescent="0.25">
      <c r="B216" s="100">
        <f t="shared" si="77"/>
        <v>198</v>
      </c>
      <c r="C216" s="293" t="s">
        <v>1509</v>
      </c>
      <c r="D216" s="265" t="s">
        <v>28</v>
      </c>
      <c r="E216" s="272">
        <v>44651</v>
      </c>
      <c r="F216" s="268" t="s">
        <v>4433</v>
      </c>
      <c r="G216" s="269" t="s">
        <v>146</v>
      </c>
      <c r="H216" s="265" t="s">
        <v>1510</v>
      </c>
      <c r="I216" s="265" t="s">
        <v>146</v>
      </c>
      <c r="J216" s="269" t="s">
        <v>1511</v>
      </c>
      <c r="K216" s="342" t="s">
        <v>146</v>
      </c>
      <c r="L216" s="296"/>
      <c r="M216" s="265" t="s">
        <v>146</v>
      </c>
      <c r="N216" s="302" t="str">
        <f>MID(M216,5,3)</f>
        <v/>
      </c>
      <c r="O216" s="265" t="s">
        <v>146</v>
      </c>
      <c r="P216" s="271"/>
      <c r="Q216" s="265" t="s">
        <v>146</v>
      </c>
      <c r="R216" s="265" t="s">
        <v>146</v>
      </c>
      <c r="S216" s="312" t="s">
        <v>146</v>
      </c>
      <c r="T216" s="280" t="str">
        <f>(IF(N216="IPU","INVITACION PUBLICA",(IF(N216="IP-","INVITACION PRIVADA"," "))))</f>
        <v xml:space="preserve"> </v>
      </c>
      <c r="U216" s="269" t="s">
        <v>151</v>
      </c>
      <c r="V216" s="285">
        <v>44652</v>
      </c>
      <c r="W216" s="303" t="e">
        <f>+$D$4-E216</f>
        <v>#VALUE!</v>
      </c>
      <c r="X216" s="303" t="e">
        <f>$D$4-V216</f>
        <v>#VALUE!</v>
      </c>
      <c r="Y216" s="265" t="s">
        <v>1300</v>
      </c>
      <c r="Z216" s="265" t="s">
        <v>214</v>
      </c>
      <c r="AA216" s="265" t="s">
        <v>215</v>
      </c>
      <c r="AB216" s="265"/>
      <c r="AC216" s="304" t="s">
        <v>2442</v>
      </c>
      <c r="AD216" s="272">
        <v>44782</v>
      </c>
      <c r="AE216" s="272"/>
      <c r="AF216" s="305" t="str">
        <f>+IF(AD216="","",TEXT(AD216,"mmm"))</f>
        <v>ago</v>
      </c>
      <c r="AG216" s="306">
        <f t="shared" si="81"/>
        <v>131</v>
      </c>
      <c r="AH216" s="307">
        <f t="shared" si="82"/>
        <v>130</v>
      </c>
      <c r="AI216" s="265"/>
      <c r="AJ216" s="265" t="s">
        <v>171</v>
      </c>
      <c r="AK216" s="265"/>
      <c r="AL216" s="265"/>
      <c r="AM216" s="309"/>
      <c r="AN216" s="269"/>
      <c r="AO216" s="265"/>
      <c r="AP216" s="309" t="e">
        <f>+J216-AM216</f>
        <v>#VALUE!</v>
      </c>
      <c r="AQ216" s="289"/>
      <c r="AR216" s="269"/>
      <c r="AS216" s="265"/>
      <c r="AT216" s="260"/>
      <c r="AU216" s="260"/>
      <c r="AV216" s="200"/>
      <c r="AW216" s="200"/>
      <c r="AX216" s="200"/>
      <c r="AY216" s="200"/>
      <c r="AZ216" s="139">
        <f t="shared" si="80"/>
        <v>1</v>
      </c>
      <c r="BA216" s="200"/>
      <c r="BB216" s="203"/>
      <c r="BC216" s="95"/>
      <c r="BD216" s="2"/>
      <c r="BE216" s="2"/>
    </row>
    <row r="217" spans="2:58" ht="43.9" customHeight="1" x14ac:dyDescent="0.25">
      <c r="B217" s="100">
        <f t="shared" si="77"/>
        <v>199</v>
      </c>
      <c r="C217" s="293" t="s">
        <v>1512</v>
      </c>
      <c r="D217" s="265" t="s">
        <v>28</v>
      </c>
      <c r="E217" s="272">
        <v>44651</v>
      </c>
      <c r="F217" s="268" t="s">
        <v>4433</v>
      </c>
      <c r="G217" s="269" t="s">
        <v>146</v>
      </c>
      <c r="H217" s="265" t="s">
        <v>1513</v>
      </c>
      <c r="I217" s="265" t="s">
        <v>146</v>
      </c>
      <c r="J217" s="269" t="s">
        <v>1514</v>
      </c>
      <c r="K217" s="342" t="s">
        <v>146</v>
      </c>
      <c r="L217" s="296"/>
      <c r="M217" s="265" t="s">
        <v>1587</v>
      </c>
      <c r="N217" s="302" t="str">
        <f>MID(M217,5,3)</f>
        <v>IPU</v>
      </c>
      <c r="O217" s="265" t="s">
        <v>146</v>
      </c>
      <c r="P217" s="271"/>
      <c r="Q217" s="265" t="s">
        <v>146</v>
      </c>
      <c r="R217" s="265" t="s">
        <v>146</v>
      </c>
      <c r="S217" s="312" t="s">
        <v>146</v>
      </c>
      <c r="T217" s="111" t="s">
        <v>40</v>
      </c>
      <c r="U217" s="269" t="s">
        <v>151</v>
      </c>
      <c r="V217" s="285">
        <v>44652</v>
      </c>
      <c r="W217" s="303" t="e">
        <f>+$D$4-E217</f>
        <v>#VALUE!</v>
      </c>
      <c r="X217" s="303" t="e">
        <f>$D$4-V217</f>
        <v>#VALUE!</v>
      </c>
      <c r="Y217" s="265" t="s">
        <v>1300</v>
      </c>
      <c r="Z217" s="265" t="s">
        <v>214</v>
      </c>
      <c r="AA217" s="265" t="s">
        <v>215</v>
      </c>
      <c r="AB217" s="265"/>
      <c r="AC217" s="304" t="s">
        <v>2418</v>
      </c>
      <c r="AD217" s="272">
        <v>44782</v>
      </c>
      <c r="AE217" s="272"/>
      <c r="AF217" s="305" t="str">
        <f>+IF(AD217="","",TEXT(AD217,"mmm"))</f>
        <v>ago</v>
      </c>
      <c r="AG217" s="306">
        <f t="shared" si="81"/>
        <v>131</v>
      </c>
      <c r="AH217" s="307">
        <f t="shared" si="82"/>
        <v>130</v>
      </c>
      <c r="AI217" s="265"/>
      <c r="AJ217" s="265" t="s">
        <v>171</v>
      </c>
      <c r="AK217" s="265"/>
      <c r="AL217" s="265"/>
      <c r="AM217" s="309"/>
      <c r="AN217" s="269"/>
      <c r="AO217" s="265"/>
      <c r="AP217" s="309" t="e">
        <f>+J217-AM217</f>
        <v>#VALUE!</v>
      </c>
      <c r="AQ217" s="289"/>
      <c r="AR217" s="269"/>
      <c r="AS217" s="265"/>
      <c r="AT217" s="260"/>
      <c r="AU217" s="260"/>
      <c r="AV217" s="200"/>
      <c r="AW217" s="200"/>
      <c r="AX217" s="200"/>
      <c r="AY217" s="200"/>
      <c r="AZ217" s="139">
        <f t="shared" si="80"/>
        <v>1</v>
      </c>
      <c r="BA217" s="200"/>
      <c r="BB217" s="203"/>
      <c r="BC217" s="95"/>
      <c r="BD217" s="2"/>
      <c r="BE217" s="2"/>
    </row>
    <row r="218" spans="2:58" ht="43.9" customHeight="1" x14ac:dyDescent="0.25">
      <c r="B218" s="100">
        <f t="shared" si="77"/>
        <v>200</v>
      </c>
      <c r="C218" s="293" t="s">
        <v>1515</v>
      </c>
      <c r="D218" s="265" t="s">
        <v>28</v>
      </c>
      <c r="E218" s="272">
        <v>44651</v>
      </c>
      <c r="F218" s="268" t="s">
        <v>4433</v>
      </c>
      <c r="G218" s="269" t="s">
        <v>146</v>
      </c>
      <c r="H218" s="265" t="s">
        <v>1516</v>
      </c>
      <c r="I218" s="265" t="s">
        <v>146</v>
      </c>
      <c r="J218" s="269" t="s">
        <v>1517</v>
      </c>
      <c r="K218" s="342" t="s">
        <v>146</v>
      </c>
      <c r="L218" s="296"/>
      <c r="M218" s="265" t="s">
        <v>1587</v>
      </c>
      <c r="N218" s="302" t="str">
        <f>MID(M218,5,3)</f>
        <v>IPU</v>
      </c>
      <c r="O218" s="265" t="s">
        <v>146</v>
      </c>
      <c r="P218" s="271"/>
      <c r="Q218" s="265" t="s">
        <v>146</v>
      </c>
      <c r="R218" s="265" t="s">
        <v>146</v>
      </c>
      <c r="S218" s="312" t="s">
        <v>146</v>
      </c>
      <c r="T218" s="111" t="s">
        <v>40</v>
      </c>
      <c r="U218" s="269" t="s">
        <v>151</v>
      </c>
      <c r="V218" s="285">
        <v>44652</v>
      </c>
      <c r="W218" s="303" t="e">
        <f>+$D$4-E218</f>
        <v>#VALUE!</v>
      </c>
      <c r="X218" s="303" t="e">
        <f>$D$4-V218</f>
        <v>#VALUE!</v>
      </c>
      <c r="Y218" s="265" t="s">
        <v>1300</v>
      </c>
      <c r="Z218" s="265" t="s">
        <v>2417</v>
      </c>
      <c r="AA218" s="265" t="s">
        <v>215</v>
      </c>
      <c r="AB218" s="265"/>
      <c r="AC218" s="304" t="s">
        <v>2082</v>
      </c>
      <c r="AD218" s="272">
        <v>44782</v>
      </c>
      <c r="AE218" s="272"/>
      <c r="AF218" s="305" t="str">
        <f>+IF(AD218="","",TEXT(AD218,"mmm"))</f>
        <v>ago</v>
      </c>
      <c r="AG218" s="306">
        <f t="shared" si="81"/>
        <v>131</v>
      </c>
      <c r="AH218" s="307">
        <f t="shared" si="82"/>
        <v>130</v>
      </c>
      <c r="AI218" s="265"/>
      <c r="AJ218" s="265" t="s">
        <v>171</v>
      </c>
      <c r="AK218" s="265"/>
      <c r="AL218" s="265"/>
      <c r="AM218" s="309"/>
      <c r="AN218" s="269"/>
      <c r="AO218" s="265"/>
      <c r="AP218" s="309" t="e">
        <f>+J218-AM218</f>
        <v>#VALUE!</v>
      </c>
      <c r="AQ218" s="289"/>
      <c r="AR218" s="269"/>
      <c r="AS218" s="265"/>
      <c r="AT218" s="260"/>
      <c r="AU218" s="260"/>
      <c r="AV218" s="200"/>
      <c r="AW218" s="200"/>
      <c r="AX218" s="200"/>
      <c r="AY218" s="200"/>
      <c r="AZ218" s="139">
        <f t="shared" si="80"/>
        <v>1</v>
      </c>
      <c r="BA218" s="200"/>
      <c r="BB218" s="203"/>
      <c r="BC218" s="95"/>
      <c r="BD218" s="2"/>
      <c r="BE218" s="2"/>
    </row>
    <row r="219" spans="2:58" ht="43.9" customHeight="1" x14ac:dyDescent="0.25">
      <c r="B219" s="100">
        <f t="shared" si="77"/>
        <v>201</v>
      </c>
      <c r="C219" s="110" t="s">
        <v>1518</v>
      </c>
      <c r="D219" s="99" t="s">
        <v>28</v>
      </c>
      <c r="E219" s="142">
        <v>44651</v>
      </c>
      <c r="F219" s="268" t="s">
        <v>4433</v>
      </c>
      <c r="G219" s="96" t="s">
        <v>1519</v>
      </c>
      <c r="H219" s="96" t="s">
        <v>1520</v>
      </c>
      <c r="I219" s="96" t="s">
        <v>226</v>
      </c>
      <c r="J219" s="133" t="s">
        <v>1521</v>
      </c>
      <c r="K219" s="343">
        <v>878972722.60000002</v>
      </c>
      <c r="L219" s="99" t="s">
        <v>283</v>
      </c>
      <c r="M219" s="96" t="s">
        <v>146</v>
      </c>
      <c r="N219" s="96"/>
      <c r="O219" s="99" t="s">
        <v>1522</v>
      </c>
      <c r="P219" s="169"/>
      <c r="Q219" s="96" t="s">
        <v>146</v>
      </c>
      <c r="R219" s="96" t="s">
        <v>146</v>
      </c>
      <c r="S219" s="99" t="s">
        <v>146</v>
      </c>
      <c r="T219" s="96" t="s">
        <v>230</v>
      </c>
      <c r="U219" s="96" t="s">
        <v>35</v>
      </c>
      <c r="V219" s="119">
        <v>44651</v>
      </c>
      <c r="W219" s="170">
        <f>+$D$2-E219</f>
        <v>-44651</v>
      </c>
      <c r="X219" s="170">
        <f>$D$2-V219</f>
        <v>-44651</v>
      </c>
      <c r="Y219" s="99" t="s">
        <v>1317</v>
      </c>
      <c r="Z219" s="96" t="s">
        <v>168</v>
      </c>
      <c r="AA219" s="96" t="s">
        <v>169</v>
      </c>
      <c r="AB219" s="96" t="s">
        <v>2084</v>
      </c>
      <c r="AC219" s="99"/>
      <c r="AD219" s="119">
        <v>44725</v>
      </c>
      <c r="AE219" s="183" t="s">
        <v>4437</v>
      </c>
      <c r="AF219" s="171"/>
      <c r="AG219" s="170">
        <f t="shared" si="81"/>
        <v>74</v>
      </c>
      <c r="AH219" s="144">
        <f t="shared" si="82"/>
        <v>74</v>
      </c>
      <c r="AI219" s="99" t="s">
        <v>146</v>
      </c>
      <c r="AJ219" s="96" t="s">
        <v>155</v>
      </c>
      <c r="AK219" s="96" t="s">
        <v>2085</v>
      </c>
      <c r="AL219" s="119">
        <v>44712</v>
      </c>
      <c r="AM219" s="210">
        <v>878966428</v>
      </c>
      <c r="AN219" s="96" t="s">
        <v>1849</v>
      </c>
      <c r="AO219" s="99">
        <v>202205675</v>
      </c>
      <c r="AP219" s="181">
        <f t="shared" ref="AP219:AP220" si="83">+K219-AM219</f>
        <v>6294.6000000238419</v>
      </c>
      <c r="AQ219" s="138"/>
      <c r="AR219" s="138"/>
      <c r="AS219" s="99"/>
      <c r="AT219" s="99"/>
      <c r="AU219" s="138"/>
      <c r="AV219" s="99" t="s">
        <v>1001</v>
      </c>
      <c r="AW219" s="99" t="s">
        <v>1002</v>
      </c>
      <c r="AX219" s="96" t="s">
        <v>2379</v>
      </c>
      <c r="AY219" s="167">
        <f t="shared" ref="AY219:AY220" si="84">+AP219/K219</f>
        <v>7.1613143823217E-6</v>
      </c>
      <c r="AZ219" s="139">
        <f t="shared" si="80"/>
        <v>1</v>
      </c>
      <c r="BA219" s="139">
        <f>IF(T219="Invitación Privada",1,IF(T219="Invitación Pública",2,0))</f>
        <v>0</v>
      </c>
      <c r="BB219" s="132">
        <f>IF(AA219="CONTRATADO",IF(BA219=1,NETWORKDAYS.INTL(E219,AD219,1,[1]FESTIVOS!$B$3:$B$10)-1,AD219-E219))-BD219</f>
        <v>74</v>
      </c>
      <c r="BC219" s="156"/>
      <c r="BD219" s="162"/>
      <c r="BE219" s="163"/>
    </row>
    <row r="220" spans="2:58" ht="43.9" customHeight="1" x14ac:dyDescent="0.25">
      <c r="B220" s="100">
        <f t="shared" si="77"/>
        <v>202</v>
      </c>
      <c r="C220" s="110" t="s">
        <v>1523</v>
      </c>
      <c r="D220" s="99" t="s">
        <v>28</v>
      </c>
      <c r="E220" s="189">
        <v>44651</v>
      </c>
      <c r="F220" s="268" t="s">
        <v>4433</v>
      </c>
      <c r="G220" s="96" t="s">
        <v>1524</v>
      </c>
      <c r="H220" s="96" t="s">
        <v>1525</v>
      </c>
      <c r="I220" s="96" t="s">
        <v>146</v>
      </c>
      <c r="J220" s="133" t="s">
        <v>1526</v>
      </c>
      <c r="K220" s="344">
        <v>1256996319</v>
      </c>
      <c r="L220" s="194" t="s">
        <v>228</v>
      </c>
      <c r="M220" s="96" t="s">
        <v>2451</v>
      </c>
      <c r="N220" s="96"/>
      <c r="O220" s="99" t="s">
        <v>1527</v>
      </c>
      <c r="P220" s="185"/>
      <c r="Q220" s="96" t="s">
        <v>146</v>
      </c>
      <c r="R220" s="96" t="s">
        <v>146</v>
      </c>
      <c r="S220" s="99" t="s">
        <v>1560</v>
      </c>
      <c r="T220" s="111" t="s">
        <v>40</v>
      </c>
      <c r="U220" s="111" t="s">
        <v>187</v>
      </c>
      <c r="V220" s="192">
        <v>44655</v>
      </c>
      <c r="W220" s="186" t="e">
        <f>+$D$4-E220</f>
        <v>#VALUE!</v>
      </c>
      <c r="X220" s="186" t="e">
        <f>$D$4-V220</f>
        <v>#VALUE!</v>
      </c>
      <c r="Y220" s="99" t="s">
        <v>1317</v>
      </c>
      <c r="Z220" s="96" t="s">
        <v>168</v>
      </c>
      <c r="AA220" s="96" t="s">
        <v>169</v>
      </c>
      <c r="AB220" s="96" t="s">
        <v>2445</v>
      </c>
      <c r="AC220" s="99"/>
      <c r="AD220" s="97">
        <v>44806</v>
      </c>
      <c r="AE220" s="183" t="s">
        <v>4262</v>
      </c>
      <c r="AF220" s="183"/>
      <c r="AG220" s="186">
        <f t="shared" si="81"/>
        <v>155</v>
      </c>
      <c r="AH220" s="187">
        <f t="shared" si="82"/>
        <v>151</v>
      </c>
      <c r="AI220" s="99" t="s">
        <v>146</v>
      </c>
      <c r="AJ220" s="96" t="s">
        <v>171</v>
      </c>
      <c r="AK220" s="99" t="s">
        <v>3676</v>
      </c>
      <c r="AL220" s="97">
        <v>44792</v>
      </c>
      <c r="AM220" s="209">
        <v>1256995507</v>
      </c>
      <c r="AN220" s="96" t="s">
        <v>3675</v>
      </c>
      <c r="AO220" s="99">
        <v>202208261</v>
      </c>
      <c r="AP220" s="181">
        <f t="shared" si="83"/>
        <v>812</v>
      </c>
      <c r="AQ220" s="193"/>
      <c r="AR220" s="193"/>
      <c r="AS220" s="99"/>
      <c r="AT220" s="99"/>
      <c r="AU220" s="193"/>
      <c r="AV220" s="99" t="s">
        <v>174</v>
      </c>
      <c r="AW220" s="99" t="s">
        <v>175</v>
      </c>
      <c r="AX220" s="96" t="s">
        <v>2379</v>
      </c>
      <c r="AY220" s="167">
        <f t="shared" si="84"/>
        <v>6.4598438971244116E-7</v>
      </c>
      <c r="AZ220" s="139">
        <f t="shared" si="80"/>
        <v>1</v>
      </c>
      <c r="BA220" s="139">
        <f>IF(T220="Invitación Privada",1,IF(T220="Invitación Pública",2,0))</f>
        <v>2</v>
      </c>
      <c r="BB220" s="132">
        <f>IF(AA220="CONTRATADO",IF(BA220=1,NETWORKDAYS.INTL(E220,AD220,1,[1]FESTIVOS!$B$3:$B$10)-1,AD220-E220))-BD220</f>
        <v>109</v>
      </c>
      <c r="BD220" s="207">
        <v>46</v>
      </c>
      <c r="BE220" s="208" t="s">
        <v>3908</v>
      </c>
      <c r="BF220" s="76"/>
    </row>
    <row r="221" spans="2:58" ht="43.9" customHeight="1" x14ac:dyDescent="0.25">
      <c r="B221" s="100">
        <f t="shared" si="77"/>
        <v>203</v>
      </c>
      <c r="C221" s="293" t="s">
        <v>1528</v>
      </c>
      <c r="D221" s="265" t="s">
        <v>28</v>
      </c>
      <c r="E221" s="272">
        <v>44651</v>
      </c>
      <c r="F221" s="268" t="s">
        <v>4433</v>
      </c>
      <c r="G221" s="269" t="s">
        <v>1529</v>
      </c>
      <c r="H221" s="265" t="s">
        <v>1530</v>
      </c>
      <c r="I221" s="265" t="s">
        <v>146</v>
      </c>
      <c r="J221" s="269" t="s">
        <v>1531</v>
      </c>
      <c r="K221" s="342">
        <v>134184400</v>
      </c>
      <c r="L221" s="282"/>
      <c r="M221" s="265" t="s">
        <v>1590</v>
      </c>
      <c r="N221" s="302" t="str">
        <f>MID(M221,5,3)</f>
        <v>IPU</v>
      </c>
      <c r="O221" s="265">
        <v>202202921</v>
      </c>
      <c r="P221" s="271"/>
      <c r="Q221" s="265" t="s">
        <v>146</v>
      </c>
      <c r="R221" s="265" t="s">
        <v>146</v>
      </c>
      <c r="S221" s="265" t="s">
        <v>1561</v>
      </c>
      <c r="T221" s="111" t="s">
        <v>40</v>
      </c>
      <c r="U221" s="269" t="s">
        <v>312</v>
      </c>
      <c r="V221" s="285">
        <v>44657</v>
      </c>
      <c r="W221" s="303" t="e">
        <f>+$D$4-E221</f>
        <v>#VALUE!</v>
      </c>
      <c r="X221" s="303" t="e">
        <f>$D$4-V221</f>
        <v>#VALUE!</v>
      </c>
      <c r="Y221" s="265" t="s">
        <v>1300</v>
      </c>
      <c r="Z221" s="265" t="s">
        <v>2055</v>
      </c>
      <c r="AA221" s="265" t="s">
        <v>153</v>
      </c>
      <c r="AB221" s="265"/>
      <c r="AC221" s="304" t="s">
        <v>2060</v>
      </c>
      <c r="AD221" s="272">
        <v>44720</v>
      </c>
      <c r="AE221" s="265"/>
      <c r="AF221" s="305" t="str">
        <f>+IF(AD221="","",TEXT(AD221,"mmm"))</f>
        <v>jun</v>
      </c>
      <c r="AG221" s="306">
        <f t="shared" si="81"/>
        <v>69</v>
      </c>
      <c r="AH221" s="307">
        <f t="shared" si="82"/>
        <v>63</v>
      </c>
      <c r="AI221" s="265"/>
      <c r="AJ221" s="265" t="s">
        <v>155</v>
      </c>
      <c r="AK221" s="277"/>
      <c r="AL221" s="277"/>
      <c r="AM221" s="277"/>
      <c r="AN221" s="309"/>
      <c r="AO221" s="289"/>
      <c r="AP221" s="277"/>
      <c r="AQ221" s="309" t="e">
        <f>+J221-#REF!</f>
        <v>#VALUE!</v>
      </c>
      <c r="AR221" s="289"/>
      <c r="AS221" s="269"/>
      <c r="AT221" s="265"/>
      <c r="AU221" s="260"/>
      <c r="AV221" s="260"/>
      <c r="AW221" s="200"/>
      <c r="AX221" s="200"/>
      <c r="AY221" s="200"/>
      <c r="AZ221" s="139">
        <f t="shared" si="80"/>
        <v>1</v>
      </c>
      <c r="BA221" s="200"/>
      <c r="BB221" s="200"/>
      <c r="BC221" s="3"/>
      <c r="BD221" s="95"/>
      <c r="BE221" s="2"/>
    </row>
    <row r="222" spans="2:58" ht="43.9" customHeight="1" x14ac:dyDescent="0.25">
      <c r="B222" s="100">
        <f t="shared" si="77"/>
        <v>204</v>
      </c>
      <c r="C222" s="110" t="s">
        <v>1532</v>
      </c>
      <c r="D222" s="99" t="s">
        <v>28</v>
      </c>
      <c r="E222" s="142">
        <v>44651</v>
      </c>
      <c r="F222" s="268" t="s">
        <v>4433</v>
      </c>
      <c r="G222" s="96" t="s">
        <v>1533</v>
      </c>
      <c r="H222" s="96" t="s">
        <v>1534</v>
      </c>
      <c r="I222" s="96" t="s">
        <v>146</v>
      </c>
      <c r="J222" s="133" t="s">
        <v>1535</v>
      </c>
      <c r="K222" s="343">
        <v>1819978575</v>
      </c>
      <c r="L222" s="99" t="s">
        <v>3069</v>
      </c>
      <c r="M222" s="99" t="s">
        <v>1591</v>
      </c>
      <c r="N222" s="99"/>
      <c r="O222" s="99">
        <v>202200910</v>
      </c>
      <c r="P222" s="168">
        <v>1819978575</v>
      </c>
      <c r="Q222" s="96" t="s">
        <v>146</v>
      </c>
      <c r="R222" s="96" t="s">
        <v>146</v>
      </c>
      <c r="S222" s="99" t="s">
        <v>1560</v>
      </c>
      <c r="T222" s="111" t="s">
        <v>40</v>
      </c>
      <c r="U222" s="111" t="s">
        <v>187</v>
      </c>
      <c r="V222" s="119">
        <v>44655</v>
      </c>
      <c r="W222" s="170">
        <f>+$D$2-E222</f>
        <v>-44651</v>
      </c>
      <c r="X222" s="170">
        <f>$D$2-V222</f>
        <v>-44655</v>
      </c>
      <c r="Y222" s="99" t="s">
        <v>1317</v>
      </c>
      <c r="Z222" s="96" t="s">
        <v>168</v>
      </c>
      <c r="AA222" s="96" t="s">
        <v>169</v>
      </c>
      <c r="AB222" s="96" t="s">
        <v>3070</v>
      </c>
      <c r="AC222" s="99"/>
      <c r="AD222" s="119">
        <v>44749</v>
      </c>
      <c r="AE222" s="183" t="s">
        <v>4437</v>
      </c>
      <c r="AF222" s="171"/>
      <c r="AG222" s="170">
        <f t="shared" si="81"/>
        <v>98</v>
      </c>
      <c r="AH222" s="144">
        <f t="shared" si="82"/>
        <v>94</v>
      </c>
      <c r="AI222" s="99" t="s">
        <v>146</v>
      </c>
      <c r="AJ222" s="96" t="s">
        <v>171</v>
      </c>
      <c r="AK222" s="99" t="s">
        <v>3071</v>
      </c>
      <c r="AL222" s="119">
        <v>44728</v>
      </c>
      <c r="AM222" s="210">
        <v>1795043027</v>
      </c>
      <c r="AN222" s="96" t="s">
        <v>3072</v>
      </c>
      <c r="AO222" s="99">
        <v>202205854</v>
      </c>
      <c r="AP222" s="181">
        <f t="shared" ref="AP222:AP223" si="85">+K222-AM222</f>
        <v>24935548</v>
      </c>
      <c r="AQ222" s="138"/>
      <c r="AR222" s="138"/>
      <c r="AS222" s="99"/>
      <c r="AT222" s="99"/>
      <c r="AU222" s="138"/>
      <c r="AV222" s="96"/>
      <c r="AW222" s="99"/>
      <c r="AX222" s="96" t="s">
        <v>2378</v>
      </c>
      <c r="AY222" s="167">
        <f t="shared" ref="AY222:AY223" si="86">+AP222/K222</f>
        <v>1.3701011837460779E-2</v>
      </c>
      <c r="AZ222" s="139">
        <f t="shared" si="80"/>
        <v>1</v>
      </c>
      <c r="BA222" s="139">
        <f>IF(T222="Invitación Privada",1,IF(T222="Invitación Pública",2,0))</f>
        <v>2</v>
      </c>
      <c r="BB222" s="132">
        <f>IF(AA222="CONTRATADO",IF(BA222=1,NETWORKDAYS.INTL(E222,AD222,1,[1]FESTIVOS!$B$3:$B$10)-1,AD222-E222))-BD222</f>
        <v>88</v>
      </c>
      <c r="BC222" s="156"/>
      <c r="BD222" s="162">
        <v>10</v>
      </c>
      <c r="BE222" s="163" t="s">
        <v>3159</v>
      </c>
      <c r="BF222" s="76"/>
    </row>
    <row r="223" spans="2:58" ht="43.9" customHeight="1" x14ac:dyDescent="0.25">
      <c r="B223" s="100">
        <f t="shared" si="77"/>
        <v>205</v>
      </c>
      <c r="C223" s="110" t="s">
        <v>1536</v>
      </c>
      <c r="D223" s="99" t="s">
        <v>33</v>
      </c>
      <c r="E223" s="142">
        <v>44651</v>
      </c>
      <c r="F223" s="268" t="s">
        <v>4433</v>
      </c>
      <c r="G223" s="96" t="s">
        <v>1537</v>
      </c>
      <c r="H223" s="96" t="s">
        <v>1538</v>
      </c>
      <c r="I223" s="96" t="s">
        <v>1539</v>
      </c>
      <c r="J223" s="133" t="s">
        <v>1540</v>
      </c>
      <c r="K223" s="340">
        <v>2032427768</v>
      </c>
      <c r="L223" s="96" t="s">
        <v>3073</v>
      </c>
      <c r="M223" s="99" t="s">
        <v>146</v>
      </c>
      <c r="N223" s="99"/>
      <c r="O223" s="99" t="s">
        <v>1541</v>
      </c>
      <c r="P223" s="168">
        <v>2032427768</v>
      </c>
      <c r="Q223" s="96" t="s">
        <v>146</v>
      </c>
      <c r="R223" s="96" t="s">
        <v>146</v>
      </c>
      <c r="S223" s="99" t="s">
        <v>146</v>
      </c>
      <c r="T223" s="96" t="s">
        <v>230</v>
      </c>
      <c r="U223" s="96" t="s">
        <v>35</v>
      </c>
      <c r="V223" s="119">
        <v>44651</v>
      </c>
      <c r="W223" s="170">
        <f>+$D$2-E223</f>
        <v>-44651</v>
      </c>
      <c r="X223" s="170">
        <f>$D$2-V223</f>
        <v>-44651</v>
      </c>
      <c r="Y223" s="99" t="s">
        <v>1317</v>
      </c>
      <c r="Z223" s="96" t="s">
        <v>168</v>
      </c>
      <c r="AA223" s="96" t="s">
        <v>169</v>
      </c>
      <c r="AB223" s="96" t="s">
        <v>2357</v>
      </c>
      <c r="AC223" s="99"/>
      <c r="AD223" s="119">
        <v>44740</v>
      </c>
      <c r="AE223" s="183" t="s">
        <v>4437</v>
      </c>
      <c r="AF223" s="171"/>
      <c r="AG223" s="170">
        <f t="shared" si="81"/>
        <v>89</v>
      </c>
      <c r="AH223" s="144">
        <f t="shared" si="82"/>
        <v>89</v>
      </c>
      <c r="AI223" s="99" t="s">
        <v>146</v>
      </c>
      <c r="AJ223" s="96" t="s">
        <v>171</v>
      </c>
      <c r="AK223" s="96" t="s">
        <v>3074</v>
      </c>
      <c r="AL223" s="99" t="s">
        <v>2358</v>
      </c>
      <c r="AM223" s="210">
        <f>34884844+367706908+963742903+666080011</f>
        <v>2032414666</v>
      </c>
      <c r="AN223" s="96" t="s">
        <v>3075</v>
      </c>
      <c r="AO223" s="99">
        <v>202205740</v>
      </c>
      <c r="AP223" s="181">
        <f t="shared" si="85"/>
        <v>13102</v>
      </c>
      <c r="AQ223" s="138"/>
      <c r="AR223" s="138"/>
      <c r="AS223" s="99"/>
      <c r="AT223" s="99"/>
      <c r="AU223" s="138"/>
      <c r="AV223" s="96" t="s">
        <v>3076</v>
      </c>
      <c r="AW223" s="99" t="s">
        <v>692</v>
      </c>
      <c r="AX223" s="96" t="s">
        <v>3077</v>
      </c>
      <c r="AY223" s="167">
        <f t="shared" si="86"/>
        <v>6.4464775606234484E-6</v>
      </c>
      <c r="AZ223" s="139">
        <f t="shared" si="80"/>
        <v>1</v>
      </c>
      <c r="BA223" s="139">
        <f>IF(T223="Invitación Privada",1,IF(T223="Invitación Pública",2,0))</f>
        <v>0</v>
      </c>
      <c r="BB223" s="132">
        <f>IF(AA223="CONTRATADO",IF(BA223=1,NETWORKDAYS.INTL(E223,AD223,1,[1]FESTIVOS!$B$3:$B$10)-1,AD223-E223))-BD223</f>
        <v>89</v>
      </c>
      <c r="BC223" s="156"/>
      <c r="BD223" s="335"/>
      <c r="BE223" s="361"/>
    </row>
    <row r="224" spans="2:58" ht="43.9" customHeight="1" x14ac:dyDescent="0.25">
      <c r="B224" s="100">
        <f t="shared" si="77"/>
        <v>206</v>
      </c>
      <c r="C224" s="293" t="s">
        <v>1542</v>
      </c>
      <c r="D224" s="265" t="s">
        <v>28</v>
      </c>
      <c r="E224" s="272">
        <v>44651</v>
      </c>
      <c r="F224" s="268" t="s">
        <v>4433</v>
      </c>
      <c r="G224" s="269" t="s">
        <v>1543</v>
      </c>
      <c r="H224" s="265" t="s">
        <v>1544</v>
      </c>
      <c r="I224" s="265" t="s">
        <v>146</v>
      </c>
      <c r="J224" s="269" t="s">
        <v>1545</v>
      </c>
      <c r="K224" s="342">
        <v>880000000</v>
      </c>
      <c r="L224" s="282"/>
      <c r="M224" s="265" t="s">
        <v>2389</v>
      </c>
      <c r="N224" s="302" t="str">
        <f>MID(M224,5,3)</f>
        <v>IPU</v>
      </c>
      <c r="O224" s="265">
        <v>202202407</v>
      </c>
      <c r="P224" s="271">
        <v>880000000</v>
      </c>
      <c r="Q224" s="265" t="s">
        <v>146</v>
      </c>
      <c r="R224" s="265" t="s">
        <v>146</v>
      </c>
      <c r="S224" s="265" t="s">
        <v>1560</v>
      </c>
      <c r="T224" s="111" t="s">
        <v>40</v>
      </c>
      <c r="U224" s="269" t="s">
        <v>364</v>
      </c>
      <c r="V224" s="285">
        <v>44655</v>
      </c>
      <c r="W224" s="303" t="e">
        <f>+$D$4-E224</f>
        <v>#VALUE!</v>
      </c>
      <c r="X224" s="303" t="e">
        <f>$D$4-V224</f>
        <v>#VALUE!</v>
      </c>
      <c r="Y224" s="265" t="s">
        <v>1300</v>
      </c>
      <c r="Z224" s="265" t="s">
        <v>152</v>
      </c>
      <c r="AA224" s="265" t="s">
        <v>153</v>
      </c>
      <c r="AB224" s="265"/>
      <c r="AC224" s="304" t="s">
        <v>2061</v>
      </c>
      <c r="AD224" s="285">
        <v>44721</v>
      </c>
      <c r="AE224" s="285"/>
      <c r="AF224" s="305" t="str">
        <f>+IF(AD224="","",TEXT(AD224,"mmm"))</f>
        <v>jun</v>
      </c>
      <c r="AG224" s="306">
        <f t="shared" si="81"/>
        <v>70</v>
      </c>
      <c r="AH224" s="307">
        <f t="shared" si="82"/>
        <v>66</v>
      </c>
      <c r="AI224" s="265"/>
      <c r="AJ224" s="265" t="s">
        <v>171</v>
      </c>
      <c r="AK224" s="265"/>
      <c r="AL224" s="265"/>
      <c r="AM224" s="265"/>
      <c r="AN224" s="309"/>
      <c r="AO224" s="269"/>
      <c r="AP224" s="265"/>
      <c r="AQ224" s="309" t="e">
        <f>+J224-AN224</f>
        <v>#VALUE!</v>
      </c>
      <c r="AR224" s="289"/>
      <c r="AS224" s="269"/>
      <c r="AT224" s="265"/>
      <c r="AU224" s="260"/>
      <c r="AV224" s="260"/>
      <c r="AW224" s="200"/>
      <c r="AX224" s="200"/>
      <c r="AY224" s="200"/>
      <c r="AZ224" s="139">
        <f t="shared" si="80"/>
        <v>1</v>
      </c>
      <c r="BA224" s="200"/>
      <c r="BB224" s="200"/>
      <c r="BC224" s="3"/>
      <c r="BD224" s="217"/>
      <c r="BE224" s="200"/>
    </row>
    <row r="225" spans="2:58" ht="43.9" customHeight="1" x14ac:dyDescent="0.25">
      <c r="B225" s="100">
        <f t="shared" si="77"/>
        <v>207</v>
      </c>
      <c r="C225" s="293" t="s">
        <v>1546</v>
      </c>
      <c r="D225" s="265" t="s">
        <v>28</v>
      </c>
      <c r="E225" s="272">
        <v>44651</v>
      </c>
      <c r="F225" s="268" t="s">
        <v>4433</v>
      </c>
      <c r="G225" s="269" t="s">
        <v>1547</v>
      </c>
      <c r="H225" s="265" t="s">
        <v>1548</v>
      </c>
      <c r="I225" s="265" t="s">
        <v>146</v>
      </c>
      <c r="J225" s="269" t="s">
        <v>1549</v>
      </c>
      <c r="K225" s="342">
        <v>244211285</v>
      </c>
      <c r="L225" s="282"/>
      <c r="M225" s="265" t="s">
        <v>1885</v>
      </c>
      <c r="N225" s="302" t="str">
        <f>MID(M225,5,3)</f>
        <v>IPU</v>
      </c>
      <c r="O225" s="265">
        <v>202201156</v>
      </c>
      <c r="P225" s="271"/>
      <c r="Q225" s="265" t="s">
        <v>146</v>
      </c>
      <c r="R225" s="265" t="s">
        <v>146</v>
      </c>
      <c r="S225" s="265" t="s">
        <v>1561</v>
      </c>
      <c r="T225" s="111" t="s">
        <v>40</v>
      </c>
      <c r="U225" s="269" t="s">
        <v>187</v>
      </c>
      <c r="V225" s="285">
        <v>44657</v>
      </c>
      <c r="W225" s="303" t="e">
        <f>+$D$4-E225</f>
        <v>#VALUE!</v>
      </c>
      <c r="X225" s="303" t="e">
        <f>$D$4-V225</f>
        <v>#VALUE!</v>
      </c>
      <c r="Y225" s="265" t="s">
        <v>1300</v>
      </c>
      <c r="Z225" s="265" t="s">
        <v>2055</v>
      </c>
      <c r="AA225" s="265" t="s">
        <v>153</v>
      </c>
      <c r="AB225" s="265"/>
      <c r="AC225" s="304" t="s">
        <v>1886</v>
      </c>
      <c r="AD225" s="272">
        <v>44706</v>
      </c>
      <c r="AE225" s="265"/>
      <c r="AF225" s="305" t="str">
        <f>+IF(AD225="","",TEXT(AD225,"mmm"))</f>
        <v>may</v>
      </c>
      <c r="AG225" s="306">
        <f t="shared" si="81"/>
        <v>55</v>
      </c>
      <c r="AH225" s="307">
        <f t="shared" si="82"/>
        <v>49</v>
      </c>
      <c r="AI225" s="265"/>
      <c r="AJ225" s="265" t="s">
        <v>155</v>
      </c>
      <c r="AK225" s="265"/>
      <c r="AL225" s="265"/>
      <c r="AM225" s="265"/>
      <c r="AN225" s="309"/>
      <c r="AO225" s="269"/>
      <c r="AP225" s="265"/>
      <c r="AQ225" s="309" t="e">
        <f>+J225-AN225</f>
        <v>#VALUE!</v>
      </c>
      <c r="AR225" s="289"/>
      <c r="AS225" s="269"/>
      <c r="AT225" s="265"/>
      <c r="AU225" s="260"/>
      <c r="AV225" s="260"/>
      <c r="AW225" s="200"/>
      <c r="AX225" s="200"/>
      <c r="AY225" s="200"/>
      <c r="AZ225" s="139">
        <f t="shared" si="80"/>
        <v>1</v>
      </c>
      <c r="BA225" s="200"/>
      <c r="BB225" s="200"/>
      <c r="BC225" s="3"/>
      <c r="BD225" s="95"/>
      <c r="BE225" s="2"/>
    </row>
    <row r="226" spans="2:58" ht="43.9" customHeight="1" x14ac:dyDescent="0.25">
      <c r="B226" s="100">
        <f t="shared" si="77"/>
        <v>208</v>
      </c>
      <c r="C226" s="110" t="s">
        <v>1550</v>
      </c>
      <c r="D226" s="99" t="s">
        <v>28</v>
      </c>
      <c r="E226" s="189">
        <v>44651</v>
      </c>
      <c r="F226" s="268" t="s">
        <v>4433</v>
      </c>
      <c r="G226" s="96" t="s">
        <v>1551</v>
      </c>
      <c r="H226" s="96" t="s">
        <v>1552</v>
      </c>
      <c r="I226" s="96" t="s">
        <v>146</v>
      </c>
      <c r="J226" s="133" t="s">
        <v>1553</v>
      </c>
      <c r="K226" s="344">
        <v>501702643</v>
      </c>
      <c r="L226" s="194" t="s">
        <v>228</v>
      </c>
      <c r="M226" s="96" t="s">
        <v>2451</v>
      </c>
      <c r="N226" s="96"/>
      <c r="O226" s="99" t="s">
        <v>1554</v>
      </c>
      <c r="P226" s="190">
        <v>501702643</v>
      </c>
      <c r="Q226" s="96" t="s">
        <v>146</v>
      </c>
      <c r="R226" s="96" t="s">
        <v>146</v>
      </c>
      <c r="S226" s="99" t="s">
        <v>1560</v>
      </c>
      <c r="T226" s="111" t="s">
        <v>40</v>
      </c>
      <c r="U226" s="111" t="s">
        <v>187</v>
      </c>
      <c r="V226" s="192">
        <v>44655</v>
      </c>
      <c r="W226" s="186" t="e">
        <f>+$D$4-E226</f>
        <v>#VALUE!</v>
      </c>
      <c r="X226" s="186" t="e">
        <f>$D$4-V226</f>
        <v>#VALUE!</v>
      </c>
      <c r="Y226" s="99" t="s">
        <v>1317</v>
      </c>
      <c r="Z226" s="96" t="s">
        <v>168</v>
      </c>
      <c r="AA226" s="96" t="s">
        <v>169</v>
      </c>
      <c r="AB226" s="96" t="s">
        <v>2446</v>
      </c>
      <c r="AC226" s="99"/>
      <c r="AD226" s="97">
        <v>44806</v>
      </c>
      <c r="AE226" s="183" t="s">
        <v>4262</v>
      </c>
      <c r="AF226" s="183"/>
      <c r="AG226" s="186">
        <f t="shared" si="81"/>
        <v>155</v>
      </c>
      <c r="AH226" s="187">
        <f t="shared" si="82"/>
        <v>151</v>
      </c>
      <c r="AI226" s="99" t="s">
        <v>146</v>
      </c>
      <c r="AJ226" s="96" t="s">
        <v>155</v>
      </c>
      <c r="AK226" s="99" t="s">
        <v>3677</v>
      </c>
      <c r="AL226" s="97">
        <v>44792</v>
      </c>
      <c r="AM226" s="209">
        <v>496040076</v>
      </c>
      <c r="AN226" s="96" t="s">
        <v>3675</v>
      </c>
      <c r="AO226" s="99">
        <v>202208260</v>
      </c>
      <c r="AP226" s="181">
        <f t="shared" ref="AP226:AP228" si="87">+K226-AM226</f>
        <v>5662567</v>
      </c>
      <c r="AQ226" s="193"/>
      <c r="AR226" s="193"/>
      <c r="AS226" s="99"/>
      <c r="AT226" s="99"/>
      <c r="AU226" s="193"/>
      <c r="AV226" s="99" t="s">
        <v>174</v>
      </c>
      <c r="AW226" s="99" t="s">
        <v>175</v>
      </c>
      <c r="AX226" s="96" t="s">
        <v>2379</v>
      </c>
      <c r="AY226" s="167">
        <f t="shared" ref="AY226:AY228" si="88">+AP226/K226</f>
        <v>1.1286699560002118E-2</v>
      </c>
      <c r="AZ226" s="139">
        <f t="shared" si="80"/>
        <v>1</v>
      </c>
      <c r="BA226" s="139">
        <f>IF(T226="Invitación Privada",1,IF(T226="Invitación Pública",2,0))</f>
        <v>2</v>
      </c>
      <c r="BB226" s="132">
        <f>IF(AA226="CONTRATADO",IF(BA226=1,NETWORKDAYS.INTL(E226,AD226,1,[1]FESTIVOS!$B$3:$B$10)-1,AD226-E226))-BD226</f>
        <v>109</v>
      </c>
      <c r="BD226" s="207">
        <v>46</v>
      </c>
      <c r="BE226" s="208" t="s">
        <v>3908</v>
      </c>
      <c r="BF226" s="76"/>
    </row>
    <row r="227" spans="2:58" ht="43.9" customHeight="1" x14ac:dyDescent="0.25">
      <c r="B227" s="100">
        <f t="shared" si="77"/>
        <v>209</v>
      </c>
      <c r="C227" s="110" t="s">
        <v>1592</v>
      </c>
      <c r="D227" s="99" t="s">
        <v>28</v>
      </c>
      <c r="E227" s="142">
        <v>44652</v>
      </c>
      <c r="F227" s="268" t="s">
        <v>4434</v>
      </c>
      <c r="G227" s="96" t="s">
        <v>1593</v>
      </c>
      <c r="H227" s="96" t="s">
        <v>1594</v>
      </c>
      <c r="I227" s="96" t="s">
        <v>146</v>
      </c>
      <c r="J227" s="133" t="s">
        <v>1595</v>
      </c>
      <c r="K227" s="343">
        <v>999326770</v>
      </c>
      <c r="L227" s="99" t="s">
        <v>228</v>
      </c>
      <c r="M227" s="99" t="s">
        <v>1887</v>
      </c>
      <c r="N227" s="99"/>
      <c r="O227" s="99">
        <v>202202779</v>
      </c>
      <c r="P227" s="169">
        <v>1000000000</v>
      </c>
      <c r="Q227" s="96" t="s">
        <v>146</v>
      </c>
      <c r="R227" s="96" t="s">
        <v>146</v>
      </c>
      <c r="S227" s="99" t="s">
        <v>1560</v>
      </c>
      <c r="T227" s="111" t="s">
        <v>40</v>
      </c>
      <c r="U227" s="96" t="s">
        <v>187</v>
      </c>
      <c r="V227" s="119">
        <v>44657</v>
      </c>
      <c r="W227" s="170">
        <f>+$D$2-E227</f>
        <v>-44652</v>
      </c>
      <c r="X227" s="170">
        <f>$D$2-V227</f>
        <v>-44657</v>
      </c>
      <c r="Y227" s="99" t="s">
        <v>1317</v>
      </c>
      <c r="Z227" s="96" t="s">
        <v>168</v>
      </c>
      <c r="AA227" s="99" t="s">
        <v>169</v>
      </c>
      <c r="AB227" s="96" t="s">
        <v>2086</v>
      </c>
      <c r="AC227" s="99"/>
      <c r="AD227" s="119">
        <v>44770</v>
      </c>
      <c r="AE227" s="183" t="s">
        <v>4437</v>
      </c>
      <c r="AF227" s="171"/>
      <c r="AG227" s="170">
        <f t="shared" si="81"/>
        <v>118</v>
      </c>
      <c r="AH227" s="144">
        <f t="shared" si="82"/>
        <v>113</v>
      </c>
      <c r="AI227" s="99" t="s">
        <v>146</v>
      </c>
      <c r="AJ227" s="96" t="s">
        <v>155</v>
      </c>
      <c r="AK227" s="99" t="s">
        <v>3078</v>
      </c>
      <c r="AL227" s="97">
        <v>44728</v>
      </c>
      <c r="AM227" s="211">
        <v>981049546</v>
      </c>
      <c r="AN227" s="96" t="s">
        <v>3079</v>
      </c>
      <c r="AO227" s="99"/>
      <c r="AP227" s="181">
        <f t="shared" si="87"/>
        <v>18277224</v>
      </c>
      <c r="AQ227" s="138"/>
      <c r="AR227" s="138"/>
      <c r="AS227" s="99"/>
      <c r="AT227" s="99"/>
      <c r="AU227" s="138"/>
      <c r="AV227" s="96"/>
      <c r="AW227" s="99"/>
      <c r="AX227" s="96" t="s">
        <v>2381</v>
      </c>
      <c r="AY227" s="167">
        <f t="shared" si="88"/>
        <v>1.8289537065038296E-2</v>
      </c>
      <c r="AZ227" s="139">
        <f t="shared" si="80"/>
        <v>1</v>
      </c>
      <c r="BA227" s="139">
        <f>IF(T227="Invitación Privada",1,IF(T227="Invitación Pública",2,0))</f>
        <v>2</v>
      </c>
      <c r="BB227" s="132">
        <f>IF(AA227="CONTRATADO",IF(BA227=1,NETWORKDAYS.INTL(E227,AD227,1,[1]FESTIVOS!$B$3:$B$10)-1,AD227-E227))-BD227</f>
        <v>98</v>
      </c>
      <c r="BC227" s="156"/>
      <c r="BD227" s="162">
        <v>20</v>
      </c>
      <c r="BE227" s="163" t="s">
        <v>3160</v>
      </c>
      <c r="BF227" s="76"/>
    </row>
    <row r="228" spans="2:58" ht="43.9" customHeight="1" x14ac:dyDescent="0.25">
      <c r="B228" s="100">
        <f t="shared" si="77"/>
        <v>210</v>
      </c>
      <c r="C228" s="110" t="s">
        <v>1596</v>
      </c>
      <c r="D228" s="99" t="s">
        <v>28</v>
      </c>
      <c r="E228" s="142">
        <v>44652</v>
      </c>
      <c r="F228" s="268" t="s">
        <v>4434</v>
      </c>
      <c r="G228" s="96" t="s">
        <v>1597</v>
      </c>
      <c r="H228" s="96" t="s">
        <v>1598</v>
      </c>
      <c r="I228" s="96" t="s">
        <v>146</v>
      </c>
      <c r="J228" s="133" t="s">
        <v>1599</v>
      </c>
      <c r="K228" s="343">
        <v>1234403575</v>
      </c>
      <c r="L228" s="138"/>
      <c r="M228" s="99" t="s">
        <v>1888</v>
      </c>
      <c r="N228" s="99"/>
      <c r="O228" s="99">
        <v>202202780</v>
      </c>
      <c r="P228" s="169"/>
      <c r="Q228" s="96" t="s">
        <v>146</v>
      </c>
      <c r="R228" s="96" t="s">
        <v>146</v>
      </c>
      <c r="S228" s="99" t="s">
        <v>1560</v>
      </c>
      <c r="T228" s="111" t="s">
        <v>40</v>
      </c>
      <c r="U228" s="96" t="s">
        <v>187</v>
      </c>
      <c r="V228" s="119">
        <v>44657</v>
      </c>
      <c r="W228" s="170">
        <f>+$D$2-E228</f>
        <v>-44652</v>
      </c>
      <c r="X228" s="170">
        <f>$D$2-V228</f>
        <v>-44657</v>
      </c>
      <c r="Y228" s="99" t="s">
        <v>1317</v>
      </c>
      <c r="Z228" s="96" t="s">
        <v>168</v>
      </c>
      <c r="AA228" s="96" t="s">
        <v>169</v>
      </c>
      <c r="AB228" s="96" t="s">
        <v>3080</v>
      </c>
      <c r="AC228" s="99"/>
      <c r="AD228" s="119">
        <v>44755</v>
      </c>
      <c r="AE228" s="183" t="s">
        <v>4437</v>
      </c>
      <c r="AF228" s="171"/>
      <c r="AG228" s="170">
        <f t="shared" si="81"/>
        <v>103</v>
      </c>
      <c r="AH228" s="144">
        <f t="shared" si="82"/>
        <v>98</v>
      </c>
      <c r="AI228" s="99" t="s">
        <v>146</v>
      </c>
      <c r="AJ228" s="96" t="s">
        <v>155</v>
      </c>
      <c r="AK228" s="99" t="s">
        <v>3081</v>
      </c>
      <c r="AL228" s="119">
        <v>44728</v>
      </c>
      <c r="AM228" s="210">
        <v>1212692702</v>
      </c>
      <c r="AN228" s="96" t="s">
        <v>3079</v>
      </c>
      <c r="AO228" s="99">
        <v>202206262</v>
      </c>
      <c r="AP228" s="181">
        <f t="shared" si="87"/>
        <v>21710873</v>
      </c>
      <c r="AQ228" s="138"/>
      <c r="AR228" s="138"/>
      <c r="AS228" s="99"/>
      <c r="AT228" s="99"/>
      <c r="AU228" s="138"/>
      <c r="AV228" s="96" t="s">
        <v>174</v>
      </c>
      <c r="AW228" s="99" t="s">
        <v>175</v>
      </c>
      <c r="AX228" s="96" t="s">
        <v>2381</v>
      </c>
      <c r="AY228" s="167">
        <f t="shared" si="88"/>
        <v>1.7588148187273354E-2</v>
      </c>
      <c r="AZ228" s="139">
        <f t="shared" si="80"/>
        <v>1</v>
      </c>
      <c r="BA228" s="139">
        <f>IF(T228="Invitación Privada",1,IF(T228="Invitación Pública",2,0))</f>
        <v>2</v>
      </c>
      <c r="BB228" s="132">
        <f>IF(AA228="CONTRATADO",IF(BA228=1,NETWORKDAYS.INTL(E228,AD228,1,[1]FESTIVOS!$B$3:$B$10)-1,AD228-E228))-BD228</f>
        <v>103</v>
      </c>
      <c r="BC228" s="156"/>
      <c r="BD228" s="162"/>
      <c r="BE228" s="163"/>
      <c r="BF228" s="76"/>
    </row>
    <row r="229" spans="2:58" ht="43.9" customHeight="1" x14ac:dyDescent="0.25">
      <c r="B229" s="100">
        <f t="shared" si="77"/>
        <v>211</v>
      </c>
      <c r="C229" s="293" t="s">
        <v>1600</v>
      </c>
      <c r="D229" s="265" t="s">
        <v>28</v>
      </c>
      <c r="E229" s="272">
        <v>44655</v>
      </c>
      <c r="F229" s="268" t="s">
        <v>4434</v>
      </c>
      <c r="G229" s="269" t="s">
        <v>1601</v>
      </c>
      <c r="H229" s="265" t="s">
        <v>1602</v>
      </c>
      <c r="I229" s="265" t="s">
        <v>146</v>
      </c>
      <c r="J229" s="269" t="s">
        <v>1603</v>
      </c>
      <c r="K229" s="342">
        <v>589996150</v>
      </c>
      <c r="L229" s="282"/>
      <c r="M229" s="265" t="s">
        <v>1889</v>
      </c>
      <c r="N229" s="302" t="str">
        <f>MID(M229,5,3)</f>
        <v>IPU</v>
      </c>
      <c r="O229" s="265">
        <v>202202190</v>
      </c>
      <c r="P229" s="271"/>
      <c r="Q229" s="265" t="s">
        <v>146</v>
      </c>
      <c r="R229" s="265" t="s">
        <v>146</v>
      </c>
      <c r="S229" s="265" t="s">
        <v>1560</v>
      </c>
      <c r="T229" s="111" t="s">
        <v>40</v>
      </c>
      <c r="U229" s="269" t="s">
        <v>187</v>
      </c>
      <c r="V229" s="285">
        <v>44672</v>
      </c>
      <c r="W229" s="303" t="e">
        <f>+$D$4-E229</f>
        <v>#VALUE!</v>
      </c>
      <c r="X229" s="303" t="e">
        <f>$D$4-V229</f>
        <v>#VALUE!</v>
      </c>
      <c r="Y229" s="265" t="s">
        <v>1300</v>
      </c>
      <c r="Z229" s="265" t="s">
        <v>152</v>
      </c>
      <c r="AA229" s="265" t="s">
        <v>153</v>
      </c>
      <c r="AB229" s="265"/>
      <c r="AC229" s="304" t="s">
        <v>2391</v>
      </c>
      <c r="AD229" s="286">
        <v>44760</v>
      </c>
      <c r="AE229" s="286"/>
      <c r="AF229" s="305" t="str">
        <f>+IF(AD229="","",TEXT(AD229,"mmm"))</f>
        <v>jul</v>
      </c>
      <c r="AG229" s="306">
        <f t="shared" si="81"/>
        <v>105</v>
      </c>
      <c r="AH229" s="307">
        <f t="shared" si="82"/>
        <v>88</v>
      </c>
      <c r="AI229" s="265"/>
      <c r="AJ229" s="265" t="s">
        <v>155</v>
      </c>
      <c r="AK229" s="265"/>
      <c r="AL229" s="265"/>
      <c r="AM229" s="265"/>
      <c r="AN229" s="309"/>
      <c r="AO229" s="269"/>
      <c r="AP229" s="265"/>
      <c r="AQ229" s="309"/>
      <c r="AR229" s="289"/>
      <c r="AS229" s="269"/>
      <c r="AT229" s="265"/>
      <c r="AU229" s="260"/>
      <c r="AV229" s="260"/>
      <c r="AW229" s="200"/>
      <c r="AX229" s="200"/>
      <c r="AY229" s="200"/>
      <c r="AZ229" s="139">
        <f t="shared" si="80"/>
        <v>1</v>
      </c>
      <c r="BA229" s="200"/>
      <c r="BB229" s="200"/>
      <c r="BC229" s="3"/>
      <c r="BD229" s="95"/>
      <c r="BE229" s="2"/>
    </row>
    <row r="230" spans="2:58" ht="43.9" customHeight="1" x14ac:dyDescent="0.25">
      <c r="B230" s="100">
        <f t="shared" si="77"/>
        <v>212</v>
      </c>
      <c r="C230" s="110" t="s">
        <v>1604</v>
      </c>
      <c r="D230" s="99" t="s">
        <v>28</v>
      </c>
      <c r="E230" s="142">
        <v>44655</v>
      </c>
      <c r="F230" s="268" t="s">
        <v>4434</v>
      </c>
      <c r="G230" s="96" t="s">
        <v>1605</v>
      </c>
      <c r="H230" s="96" t="s">
        <v>1606</v>
      </c>
      <c r="I230" s="96" t="s">
        <v>146</v>
      </c>
      <c r="J230" s="133" t="s">
        <v>1607</v>
      </c>
      <c r="K230" s="343">
        <v>259196806</v>
      </c>
      <c r="L230" s="138"/>
      <c r="M230" s="99" t="s">
        <v>1890</v>
      </c>
      <c r="N230" s="99"/>
      <c r="O230" s="99">
        <v>202202847</v>
      </c>
      <c r="P230" s="169"/>
      <c r="Q230" s="96" t="s">
        <v>146</v>
      </c>
      <c r="R230" s="96" t="s">
        <v>146</v>
      </c>
      <c r="S230" s="99" t="s">
        <v>1561</v>
      </c>
      <c r="T230" s="111" t="s">
        <v>40</v>
      </c>
      <c r="U230" s="96" t="s">
        <v>187</v>
      </c>
      <c r="V230" s="119">
        <v>44672</v>
      </c>
      <c r="W230" s="170">
        <f>+$D$2-E230</f>
        <v>-44655</v>
      </c>
      <c r="X230" s="170">
        <f>$D$2-V230</f>
        <v>-44672</v>
      </c>
      <c r="Y230" s="99" t="s">
        <v>1317</v>
      </c>
      <c r="Z230" s="96" t="s">
        <v>168</v>
      </c>
      <c r="AA230" s="99" t="s">
        <v>169</v>
      </c>
      <c r="AB230" s="96" t="s">
        <v>3082</v>
      </c>
      <c r="AC230" s="99"/>
      <c r="AD230" s="119">
        <v>44771</v>
      </c>
      <c r="AE230" s="183" t="s">
        <v>4437</v>
      </c>
      <c r="AF230" s="171"/>
      <c r="AG230" s="170">
        <f t="shared" si="81"/>
        <v>116</v>
      </c>
      <c r="AH230" s="144">
        <f t="shared" si="82"/>
        <v>99</v>
      </c>
      <c r="AI230" s="99" t="s">
        <v>146</v>
      </c>
      <c r="AJ230" s="96" t="s">
        <v>155</v>
      </c>
      <c r="AK230" s="99" t="s">
        <v>3083</v>
      </c>
      <c r="AL230" s="97">
        <v>44757</v>
      </c>
      <c r="AM230" s="211">
        <v>259196755</v>
      </c>
      <c r="AN230" s="96" t="s">
        <v>3084</v>
      </c>
      <c r="AO230" s="99">
        <v>202207212</v>
      </c>
      <c r="AP230" s="181">
        <f t="shared" ref="AP230:AP231" si="89">+K230-AM230</f>
        <v>51</v>
      </c>
      <c r="AQ230" s="138"/>
      <c r="AR230" s="138"/>
      <c r="AS230" s="99"/>
      <c r="AT230" s="99"/>
      <c r="AU230" s="138"/>
      <c r="AV230" s="96" t="s">
        <v>3085</v>
      </c>
      <c r="AW230" s="99" t="s">
        <v>692</v>
      </c>
      <c r="AX230" s="96" t="s">
        <v>2379</v>
      </c>
      <c r="AY230" s="167">
        <f t="shared" ref="AY230:AY231" si="90">+AP230/K230</f>
        <v>1.9676168386118153E-7</v>
      </c>
      <c r="AZ230" s="139">
        <f t="shared" si="80"/>
        <v>1</v>
      </c>
      <c r="BA230" s="139">
        <f>IF(T230="Invitación Privada",1,IF(T230="Invitación Pública",2,0))</f>
        <v>2</v>
      </c>
      <c r="BB230" s="132">
        <f>IF(AA230="CONTRATADO",IF(BA230=1,NETWORKDAYS.INTL(E230,AD230,1,[1]FESTIVOS!$B$3:$B$10)-1,AD230-E230))-BD230</f>
        <v>116</v>
      </c>
      <c r="BC230" s="156"/>
      <c r="BD230" s="162"/>
      <c r="BE230" s="163"/>
      <c r="BF230" s="76"/>
    </row>
    <row r="231" spans="2:58" ht="43.9" customHeight="1" x14ac:dyDescent="0.25">
      <c r="B231" s="100">
        <f t="shared" si="77"/>
        <v>213</v>
      </c>
      <c r="C231" s="110" t="s">
        <v>1608</v>
      </c>
      <c r="D231" s="99" t="s">
        <v>28</v>
      </c>
      <c r="E231" s="142">
        <v>44655</v>
      </c>
      <c r="F231" s="268" t="s">
        <v>4434</v>
      </c>
      <c r="G231" s="96" t="s">
        <v>1609</v>
      </c>
      <c r="H231" s="96" t="s">
        <v>1610</v>
      </c>
      <c r="I231" s="96" t="s">
        <v>146</v>
      </c>
      <c r="J231" s="133" t="s">
        <v>1611</v>
      </c>
      <c r="K231" s="343">
        <v>1635626144</v>
      </c>
      <c r="L231" s="99" t="s">
        <v>549</v>
      </c>
      <c r="M231" s="99" t="s">
        <v>1891</v>
      </c>
      <c r="N231" s="99"/>
      <c r="O231" s="99">
        <v>202202658</v>
      </c>
      <c r="P231" s="168">
        <v>1635626144</v>
      </c>
      <c r="Q231" s="96" t="s">
        <v>146</v>
      </c>
      <c r="R231" s="96" t="s">
        <v>146</v>
      </c>
      <c r="S231" s="99" t="s">
        <v>1560</v>
      </c>
      <c r="T231" s="111" t="s">
        <v>40</v>
      </c>
      <c r="U231" s="111" t="s">
        <v>187</v>
      </c>
      <c r="V231" s="119">
        <v>44657</v>
      </c>
      <c r="W231" s="170">
        <f>+$D$2-E231</f>
        <v>-44655</v>
      </c>
      <c r="X231" s="170">
        <f>$D$2-V231</f>
        <v>-44657</v>
      </c>
      <c r="Y231" s="99" t="s">
        <v>1317</v>
      </c>
      <c r="Z231" s="96" t="s">
        <v>168</v>
      </c>
      <c r="AA231" s="96" t="s">
        <v>169</v>
      </c>
      <c r="AB231" s="96" t="s">
        <v>3086</v>
      </c>
      <c r="AC231" s="99"/>
      <c r="AD231" s="119">
        <v>44760</v>
      </c>
      <c r="AE231" s="183" t="s">
        <v>4437</v>
      </c>
      <c r="AF231" s="171"/>
      <c r="AG231" s="170">
        <f t="shared" si="81"/>
        <v>105</v>
      </c>
      <c r="AH231" s="144">
        <f t="shared" si="82"/>
        <v>103</v>
      </c>
      <c r="AI231" s="99" t="s">
        <v>146</v>
      </c>
      <c r="AJ231" s="96" t="s">
        <v>155</v>
      </c>
      <c r="AK231" s="99" t="s">
        <v>3087</v>
      </c>
      <c r="AL231" s="119">
        <v>44749</v>
      </c>
      <c r="AM231" s="211">
        <v>1634974621</v>
      </c>
      <c r="AN231" s="96" t="s">
        <v>3088</v>
      </c>
      <c r="AO231" s="99">
        <v>202206979</v>
      </c>
      <c r="AP231" s="181">
        <f t="shared" si="89"/>
        <v>651523</v>
      </c>
      <c r="AQ231" s="138"/>
      <c r="AR231" s="138"/>
      <c r="AS231" s="99"/>
      <c r="AT231" s="99"/>
      <c r="AU231" s="138"/>
      <c r="AV231" s="96" t="s">
        <v>174</v>
      </c>
      <c r="AW231" s="99" t="s">
        <v>175</v>
      </c>
      <c r="AX231" s="96" t="s">
        <v>2506</v>
      </c>
      <c r="AY231" s="167">
        <f t="shared" si="90"/>
        <v>3.9833246881629692E-4</v>
      </c>
      <c r="AZ231" s="139">
        <f t="shared" si="80"/>
        <v>1</v>
      </c>
      <c r="BA231" s="139">
        <f>IF(T231="Invitación Privada",1,IF(T231="Invitación Pública",2,0))</f>
        <v>2</v>
      </c>
      <c r="BB231" s="132">
        <f>IF(AA231="CONTRATADO",IF(BA231=1,NETWORKDAYS.INTL(E231,AD231,1,[1]FESTIVOS!$B$3:$B$10)-1,AD231-E231))-BD231</f>
        <v>105</v>
      </c>
      <c r="BC231" s="156"/>
      <c r="BD231" s="162"/>
      <c r="BE231" s="163"/>
      <c r="BF231" s="76"/>
    </row>
    <row r="232" spans="2:58" ht="43.9" customHeight="1" x14ac:dyDescent="0.25">
      <c r="B232" s="100">
        <f t="shared" si="77"/>
        <v>214</v>
      </c>
      <c r="C232" s="293" t="s">
        <v>1612</v>
      </c>
      <c r="D232" s="265" t="s">
        <v>28</v>
      </c>
      <c r="E232" s="272">
        <v>44658</v>
      </c>
      <c r="F232" s="268" t="s">
        <v>4434</v>
      </c>
      <c r="G232" s="287" t="s">
        <v>1613</v>
      </c>
      <c r="H232" s="265" t="s">
        <v>202</v>
      </c>
      <c r="I232" s="265" t="s">
        <v>146</v>
      </c>
      <c r="J232" s="269" t="s">
        <v>203</v>
      </c>
      <c r="K232" s="342">
        <v>936000000</v>
      </c>
      <c r="L232" s="282"/>
      <c r="M232" s="265" t="s">
        <v>2392</v>
      </c>
      <c r="N232" s="302" t="str">
        <f>MID(M232,5,3)</f>
        <v>IPU</v>
      </c>
      <c r="O232" s="265"/>
      <c r="P232" s="271"/>
      <c r="Q232" s="265" t="s">
        <v>3166</v>
      </c>
      <c r="R232" s="265"/>
      <c r="S232" s="265" t="s">
        <v>1560</v>
      </c>
      <c r="T232" s="111" t="s">
        <v>40</v>
      </c>
      <c r="U232" s="269" t="s">
        <v>206</v>
      </c>
      <c r="V232" s="285">
        <v>44657</v>
      </c>
      <c r="W232" s="303" t="e">
        <f>+$D$4-E232</f>
        <v>#VALUE!</v>
      </c>
      <c r="X232" s="303" t="e">
        <f>$D$4-V232</f>
        <v>#VALUE!</v>
      </c>
      <c r="Y232" s="265" t="s">
        <v>1300</v>
      </c>
      <c r="Z232" s="265" t="s">
        <v>152</v>
      </c>
      <c r="AA232" s="265" t="s">
        <v>153</v>
      </c>
      <c r="AB232" s="265"/>
      <c r="AC232" s="304" t="s">
        <v>2062</v>
      </c>
      <c r="AD232" s="272">
        <v>44718</v>
      </c>
      <c r="AE232" s="265"/>
      <c r="AF232" s="305" t="str">
        <f>+IF(AD232="","",TEXT(AD232,"mmm"))</f>
        <v>jun</v>
      </c>
      <c r="AG232" s="306">
        <f t="shared" si="81"/>
        <v>60</v>
      </c>
      <c r="AH232" s="307">
        <f t="shared" si="82"/>
        <v>61</v>
      </c>
      <c r="AI232" s="265"/>
      <c r="AJ232" s="265" t="s">
        <v>155</v>
      </c>
      <c r="AK232" s="265"/>
      <c r="AL232" s="265"/>
      <c r="AM232" s="265"/>
      <c r="AN232" s="309"/>
      <c r="AO232" s="269"/>
      <c r="AP232" s="265"/>
      <c r="AQ232" s="309"/>
      <c r="AR232" s="289"/>
      <c r="AS232" s="269"/>
      <c r="AT232" s="265"/>
      <c r="AU232" s="260"/>
      <c r="AV232" s="260"/>
      <c r="AW232" s="200"/>
      <c r="AX232" s="200"/>
      <c r="AY232" s="200"/>
      <c r="AZ232" s="139">
        <f t="shared" si="80"/>
        <v>1</v>
      </c>
      <c r="BA232" s="200"/>
      <c r="BB232" s="200"/>
      <c r="BC232" s="3"/>
      <c r="BD232" s="95"/>
      <c r="BE232" s="2"/>
      <c r="BF232" s="160"/>
    </row>
    <row r="233" spans="2:58" ht="43.9" customHeight="1" x14ac:dyDescent="0.25">
      <c r="B233" s="100">
        <f t="shared" si="77"/>
        <v>215</v>
      </c>
      <c r="C233" s="293" t="s">
        <v>1614</v>
      </c>
      <c r="D233" s="312" t="s">
        <v>32</v>
      </c>
      <c r="E233" s="272">
        <v>44658</v>
      </c>
      <c r="F233" s="268" t="s">
        <v>4434</v>
      </c>
      <c r="G233" s="269" t="s">
        <v>1615</v>
      </c>
      <c r="H233" s="265" t="s">
        <v>1616</v>
      </c>
      <c r="I233" s="265" t="s">
        <v>146</v>
      </c>
      <c r="J233" s="269" t="s">
        <v>1617</v>
      </c>
      <c r="K233" s="342">
        <v>21000000</v>
      </c>
      <c r="L233" s="282"/>
      <c r="M233" s="265" t="s">
        <v>1892</v>
      </c>
      <c r="N233" s="302" t="str">
        <f>MID(M233,5,3)</f>
        <v>IPU</v>
      </c>
      <c r="O233" s="265">
        <v>202203515</v>
      </c>
      <c r="P233" s="271" t="s">
        <v>1618</v>
      </c>
      <c r="Q233" s="265" t="s">
        <v>146</v>
      </c>
      <c r="R233" s="265" t="s">
        <v>146</v>
      </c>
      <c r="S233" s="265" t="s">
        <v>1561</v>
      </c>
      <c r="T233" s="111" t="s">
        <v>40</v>
      </c>
      <c r="U233" s="269" t="s">
        <v>277</v>
      </c>
      <c r="V233" s="285">
        <v>44672</v>
      </c>
      <c r="W233" s="303" t="e">
        <f>+$D$4-E233</f>
        <v>#VALUE!</v>
      </c>
      <c r="X233" s="303" t="e">
        <f>$D$4-V233</f>
        <v>#VALUE!</v>
      </c>
      <c r="Y233" s="265" t="s">
        <v>1300</v>
      </c>
      <c r="Z233" s="265" t="s">
        <v>2055</v>
      </c>
      <c r="AA233" s="265" t="s">
        <v>153</v>
      </c>
      <c r="AB233" s="265"/>
      <c r="AC233" s="304" t="s">
        <v>2063</v>
      </c>
      <c r="AD233" s="272">
        <v>44714</v>
      </c>
      <c r="AE233" s="265"/>
      <c r="AF233" s="305" t="str">
        <f>+IF(AD233="","",TEXT(AD233,"mmm"))</f>
        <v>jun</v>
      </c>
      <c r="AG233" s="306">
        <f t="shared" si="81"/>
        <v>56</v>
      </c>
      <c r="AH233" s="307">
        <f t="shared" si="82"/>
        <v>42</v>
      </c>
      <c r="AI233" s="265"/>
      <c r="AJ233" s="265" t="s">
        <v>171</v>
      </c>
      <c r="AK233" s="265"/>
      <c r="AL233" s="265"/>
      <c r="AM233" s="265"/>
      <c r="AN233" s="309"/>
      <c r="AO233" s="269"/>
      <c r="AP233" s="265"/>
      <c r="AQ233" s="309"/>
      <c r="AR233" s="289"/>
      <c r="AS233" s="269"/>
      <c r="AT233" s="265"/>
      <c r="AU233" s="260"/>
      <c r="AV233" s="260"/>
      <c r="AW233" s="200"/>
      <c r="AX233" s="200"/>
      <c r="AY233" s="200"/>
      <c r="AZ233" s="139">
        <f t="shared" si="80"/>
        <v>1</v>
      </c>
      <c r="BA233" s="200"/>
      <c r="BB233" s="200"/>
      <c r="BC233" s="3"/>
      <c r="BD233" s="217"/>
      <c r="BE233" s="200"/>
      <c r="BF233" s="160"/>
    </row>
    <row r="234" spans="2:58" ht="43.9" customHeight="1" x14ac:dyDescent="0.25">
      <c r="B234" s="100">
        <f t="shared" si="77"/>
        <v>216</v>
      </c>
      <c r="C234" s="293" t="s">
        <v>1619</v>
      </c>
      <c r="D234" s="265" t="s">
        <v>28</v>
      </c>
      <c r="E234" s="272">
        <v>44658</v>
      </c>
      <c r="F234" s="268" t="s">
        <v>4434</v>
      </c>
      <c r="G234" s="269" t="s">
        <v>1620</v>
      </c>
      <c r="H234" s="265" t="s">
        <v>1621</v>
      </c>
      <c r="I234" s="265" t="s">
        <v>146</v>
      </c>
      <c r="J234" s="269" t="s">
        <v>1622</v>
      </c>
      <c r="K234" s="342">
        <v>299999952</v>
      </c>
      <c r="L234" s="282"/>
      <c r="M234" s="265" t="s">
        <v>1893</v>
      </c>
      <c r="N234" s="302" t="str">
        <f>MID(M234,5,3)</f>
        <v>IPU</v>
      </c>
      <c r="O234" s="265">
        <v>202201857</v>
      </c>
      <c r="P234" s="271"/>
      <c r="Q234" s="265" t="s">
        <v>146</v>
      </c>
      <c r="R234" s="265" t="s">
        <v>146</v>
      </c>
      <c r="S234" s="265" t="s">
        <v>1561</v>
      </c>
      <c r="T234" s="111" t="s">
        <v>40</v>
      </c>
      <c r="U234" s="269" t="s">
        <v>277</v>
      </c>
      <c r="V234" s="285">
        <v>44677</v>
      </c>
      <c r="W234" s="303" t="e">
        <f>+$D$4-E234</f>
        <v>#VALUE!</v>
      </c>
      <c r="X234" s="303" t="e">
        <f>$D$4-V234</f>
        <v>#VALUE!</v>
      </c>
      <c r="Y234" s="265" t="s">
        <v>1300</v>
      </c>
      <c r="Z234" s="265" t="s">
        <v>2055</v>
      </c>
      <c r="AA234" s="265" t="s">
        <v>153</v>
      </c>
      <c r="AB234" s="265"/>
      <c r="AC234" s="304" t="s">
        <v>2064</v>
      </c>
      <c r="AD234" s="272">
        <v>44714</v>
      </c>
      <c r="AE234" s="265"/>
      <c r="AF234" s="305" t="str">
        <f>+IF(AD234="","",TEXT(AD234,"mmm"))</f>
        <v>jun</v>
      </c>
      <c r="AG234" s="306">
        <f t="shared" si="81"/>
        <v>56</v>
      </c>
      <c r="AH234" s="307">
        <f t="shared" si="82"/>
        <v>37</v>
      </c>
      <c r="AI234" s="265"/>
      <c r="AJ234" s="265" t="s">
        <v>171</v>
      </c>
      <c r="AK234" s="265"/>
      <c r="AL234" s="265"/>
      <c r="AM234" s="265"/>
      <c r="AN234" s="309"/>
      <c r="AO234" s="269"/>
      <c r="AP234" s="265"/>
      <c r="AQ234" s="309"/>
      <c r="AR234" s="289"/>
      <c r="AS234" s="269"/>
      <c r="AT234" s="265"/>
      <c r="AU234" s="260"/>
      <c r="AV234" s="260"/>
      <c r="AW234" s="200"/>
      <c r="AX234" s="200"/>
      <c r="AY234" s="200"/>
      <c r="AZ234" s="139">
        <f t="shared" si="80"/>
        <v>1</v>
      </c>
      <c r="BA234" s="200"/>
      <c r="BB234" s="200"/>
      <c r="BC234" s="3"/>
      <c r="BD234" s="95"/>
      <c r="BE234" s="2"/>
      <c r="BF234" s="160"/>
    </row>
    <row r="235" spans="2:58" ht="43.9" customHeight="1" x14ac:dyDescent="0.25">
      <c r="B235" s="100">
        <f t="shared" si="77"/>
        <v>217</v>
      </c>
      <c r="C235" s="110" t="s">
        <v>1623</v>
      </c>
      <c r="D235" s="99" t="s">
        <v>28</v>
      </c>
      <c r="E235" s="189">
        <v>44688</v>
      </c>
      <c r="F235" s="268" t="s">
        <v>4435</v>
      </c>
      <c r="G235" s="96" t="s">
        <v>1624</v>
      </c>
      <c r="H235" s="96" t="s">
        <v>1625</v>
      </c>
      <c r="I235" s="96" t="s">
        <v>146</v>
      </c>
      <c r="J235" s="133" t="s">
        <v>1626</v>
      </c>
      <c r="K235" s="344">
        <v>118131300</v>
      </c>
      <c r="L235" s="194" t="s">
        <v>228</v>
      </c>
      <c r="M235" s="99" t="s">
        <v>2451</v>
      </c>
      <c r="N235" s="99"/>
      <c r="O235" s="99">
        <v>202203083</v>
      </c>
      <c r="P235" s="185">
        <v>120000000</v>
      </c>
      <c r="Q235" s="96" t="s">
        <v>146</v>
      </c>
      <c r="R235" s="96" t="s">
        <v>146</v>
      </c>
      <c r="S235" s="99" t="s">
        <v>1561</v>
      </c>
      <c r="T235" s="111" t="s">
        <v>40</v>
      </c>
      <c r="U235" s="111" t="s">
        <v>187</v>
      </c>
      <c r="V235" s="192">
        <v>44669</v>
      </c>
      <c r="W235" s="186" t="e">
        <f>+$D$4-E235</f>
        <v>#VALUE!</v>
      </c>
      <c r="X235" s="186" t="e">
        <f>$D$4-V235</f>
        <v>#VALUE!</v>
      </c>
      <c r="Y235" s="99" t="s">
        <v>1317</v>
      </c>
      <c r="Z235" s="96" t="s">
        <v>168</v>
      </c>
      <c r="AA235" s="96" t="s">
        <v>169</v>
      </c>
      <c r="AB235" s="96" t="s">
        <v>2447</v>
      </c>
      <c r="AC235" s="99"/>
      <c r="AD235" s="97">
        <v>44806</v>
      </c>
      <c r="AE235" s="183" t="s">
        <v>4262</v>
      </c>
      <c r="AF235" s="183"/>
      <c r="AG235" s="186">
        <f t="shared" si="81"/>
        <v>118</v>
      </c>
      <c r="AH235" s="187">
        <f t="shared" si="82"/>
        <v>137</v>
      </c>
      <c r="AI235" s="99" t="s">
        <v>146</v>
      </c>
      <c r="AJ235" s="96" t="s">
        <v>155</v>
      </c>
      <c r="AK235" s="99" t="s">
        <v>3678</v>
      </c>
      <c r="AL235" s="97">
        <v>44792</v>
      </c>
      <c r="AM235" s="209">
        <v>116874660</v>
      </c>
      <c r="AN235" s="96" t="s">
        <v>3675</v>
      </c>
      <c r="AO235" s="99">
        <v>202208263</v>
      </c>
      <c r="AP235" s="181">
        <f t="shared" ref="AP235:AP238" si="91">+K235-AM235</f>
        <v>1256640</v>
      </c>
      <c r="AQ235" s="193"/>
      <c r="AR235" s="193"/>
      <c r="AS235" s="99"/>
      <c r="AT235" s="99"/>
      <c r="AU235" s="193"/>
      <c r="AV235" s="99" t="s">
        <v>174</v>
      </c>
      <c r="AW235" s="99" t="s">
        <v>175</v>
      </c>
      <c r="AX235" s="96" t="s">
        <v>2379</v>
      </c>
      <c r="AY235" s="167">
        <f t="shared" ref="AY235:AY238" si="92">+AP235/K235</f>
        <v>1.0637654880628589E-2</v>
      </c>
      <c r="AZ235" s="139">
        <f t="shared" si="80"/>
        <v>1</v>
      </c>
      <c r="BA235" s="139">
        <f>IF(T235="Invitación Privada",1,IF(T235="Invitación Pública",2,0))</f>
        <v>2</v>
      </c>
      <c r="BB235" s="132">
        <f>IF(AA235="CONTRATADO",IF(BA235=1,NETWORKDAYS.INTL(E235,AD235,1,[1]FESTIVOS!$B$3:$B$10)-1,AD235-E235))-BD235</f>
        <v>109</v>
      </c>
      <c r="BD235" s="207">
        <v>9</v>
      </c>
      <c r="BE235" s="208" t="s">
        <v>3908</v>
      </c>
      <c r="BF235" s="76"/>
    </row>
    <row r="236" spans="2:58" ht="43.9" customHeight="1" x14ac:dyDescent="0.25">
      <c r="B236" s="100">
        <f t="shared" si="77"/>
        <v>218</v>
      </c>
      <c r="C236" s="110" t="s">
        <v>1627</v>
      </c>
      <c r="D236" s="99" t="s">
        <v>28</v>
      </c>
      <c r="E236" s="140">
        <v>44658</v>
      </c>
      <c r="F236" s="268" t="s">
        <v>4434</v>
      </c>
      <c r="G236" s="96" t="s">
        <v>1628</v>
      </c>
      <c r="H236" s="96" t="s">
        <v>1629</v>
      </c>
      <c r="I236" s="96" t="s">
        <v>1224</v>
      </c>
      <c r="J236" s="133" t="s">
        <v>1630</v>
      </c>
      <c r="K236" s="348">
        <v>1976707016</v>
      </c>
      <c r="L236" s="146" t="s">
        <v>2359</v>
      </c>
      <c r="M236" s="99" t="s">
        <v>146</v>
      </c>
      <c r="N236" s="99"/>
      <c r="O236" s="99">
        <v>202202785</v>
      </c>
      <c r="P236" s="173"/>
      <c r="Q236" s="96" t="s">
        <v>146</v>
      </c>
      <c r="R236" s="96" t="s">
        <v>146</v>
      </c>
      <c r="S236" s="99" t="s">
        <v>146</v>
      </c>
      <c r="T236" s="96" t="s">
        <v>230</v>
      </c>
      <c r="U236" s="96" t="s">
        <v>29</v>
      </c>
      <c r="V236" s="97">
        <v>44659</v>
      </c>
      <c r="W236" s="166" t="e">
        <f>+#REF!-E236</f>
        <v>#REF!</v>
      </c>
      <c r="X236" s="166" t="e">
        <f>#REF!-V236</f>
        <v>#REF!</v>
      </c>
      <c r="Y236" s="99" t="s">
        <v>1755</v>
      </c>
      <c r="Z236" s="96" t="s">
        <v>168</v>
      </c>
      <c r="AA236" s="96" t="s">
        <v>169</v>
      </c>
      <c r="AB236" s="96" t="s">
        <v>2081</v>
      </c>
      <c r="AC236" s="99"/>
      <c r="AD236" s="97">
        <v>44725</v>
      </c>
      <c r="AE236" s="183" t="s">
        <v>4436</v>
      </c>
      <c r="AF236" s="98"/>
      <c r="AG236" s="166">
        <f t="shared" si="81"/>
        <v>67</v>
      </c>
      <c r="AH236" s="166">
        <f t="shared" si="82"/>
        <v>66</v>
      </c>
      <c r="AI236" s="99" t="s">
        <v>146</v>
      </c>
      <c r="AJ236" s="96" t="s">
        <v>171</v>
      </c>
      <c r="AK236" s="96" t="s">
        <v>2360</v>
      </c>
      <c r="AL236" s="97">
        <v>44712</v>
      </c>
      <c r="AM236" s="211">
        <v>1976707016</v>
      </c>
      <c r="AN236" s="96" t="s">
        <v>2324</v>
      </c>
      <c r="AO236" s="99">
        <v>202205653</v>
      </c>
      <c r="AP236" s="181">
        <f t="shared" si="91"/>
        <v>0</v>
      </c>
      <c r="AQ236" s="138"/>
      <c r="AR236" s="138"/>
      <c r="AS236" s="99"/>
      <c r="AT236" s="99"/>
      <c r="AU236" s="138"/>
      <c r="AV236" s="99" t="s">
        <v>174</v>
      </c>
      <c r="AW236" s="99" t="s">
        <v>175</v>
      </c>
      <c r="AX236" s="99"/>
      <c r="AY236" s="167">
        <f t="shared" si="92"/>
        <v>0</v>
      </c>
      <c r="AZ236" s="139">
        <f t="shared" si="80"/>
        <v>1</v>
      </c>
      <c r="BA236" s="139">
        <f>IF(T236="Invitación Privada",1,IF(T236="Invitación Pública",2,0))</f>
        <v>0</v>
      </c>
      <c r="BB236" s="132">
        <f>IF(AA236="CONTRATADO",IF(BA236=1,NETWORKDAYS.INTL(E236,AD236,1,[1]FESTIVOS!$B$3:$B$10)-1,AD236-E236))-BD236</f>
        <v>67</v>
      </c>
      <c r="BC236" s="156"/>
      <c r="BD236" s="162"/>
      <c r="BE236" s="163"/>
    </row>
    <row r="237" spans="2:58" ht="43.9" customHeight="1" x14ac:dyDescent="0.25">
      <c r="B237" s="100">
        <f t="shared" si="77"/>
        <v>219</v>
      </c>
      <c r="C237" s="110" t="s">
        <v>1631</v>
      </c>
      <c r="D237" s="99" t="s">
        <v>28</v>
      </c>
      <c r="E237" s="140">
        <v>44658</v>
      </c>
      <c r="F237" s="268" t="s">
        <v>4434</v>
      </c>
      <c r="G237" s="96" t="s">
        <v>1632</v>
      </c>
      <c r="H237" s="96" t="s">
        <v>1633</v>
      </c>
      <c r="I237" s="96" t="s">
        <v>1634</v>
      </c>
      <c r="J237" s="133" t="s">
        <v>1635</v>
      </c>
      <c r="K237" s="348">
        <v>207306980</v>
      </c>
      <c r="L237" s="138"/>
      <c r="M237" s="99" t="s">
        <v>146</v>
      </c>
      <c r="N237" s="99"/>
      <c r="O237" s="99">
        <v>202200775</v>
      </c>
      <c r="P237" s="173"/>
      <c r="Q237" s="96" t="s">
        <v>146</v>
      </c>
      <c r="R237" s="96" t="s">
        <v>146</v>
      </c>
      <c r="S237" s="99" t="s">
        <v>146</v>
      </c>
      <c r="T237" s="96" t="s">
        <v>230</v>
      </c>
      <c r="U237" s="96" t="s">
        <v>29</v>
      </c>
      <c r="V237" s="97">
        <v>44659</v>
      </c>
      <c r="W237" s="166" t="e">
        <f>+#REF!-E237</f>
        <v>#REF!</v>
      </c>
      <c r="X237" s="166" t="e">
        <f>#REF!-V237</f>
        <v>#REF!</v>
      </c>
      <c r="Y237" s="99" t="s">
        <v>1317</v>
      </c>
      <c r="Z237" s="96" t="s">
        <v>168</v>
      </c>
      <c r="AA237" s="96" t="s">
        <v>169</v>
      </c>
      <c r="AB237" s="96" t="s">
        <v>2081</v>
      </c>
      <c r="AC237" s="99"/>
      <c r="AD237" s="97">
        <v>44725</v>
      </c>
      <c r="AE237" s="183" t="s">
        <v>4436</v>
      </c>
      <c r="AF237" s="98"/>
      <c r="AG237" s="166">
        <f t="shared" si="81"/>
        <v>67</v>
      </c>
      <c r="AH237" s="166">
        <f t="shared" si="82"/>
        <v>66</v>
      </c>
      <c r="AI237" s="99" t="s">
        <v>146</v>
      </c>
      <c r="AJ237" s="96" t="s">
        <v>171</v>
      </c>
      <c r="AK237" s="96" t="s">
        <v>2361</v>
      </c>
      <c r="AL237" s="97">
        <v>44712</v>
      </c>
      <c r="AM237" s="211">
        <v>207306980</v>
      </c>
      <c r="AN237" s="96" t="s">
        <v>2324</v>
      </c>
      <c r="AO237" s="99">
        <v>202205662</v>
      </c>
      <c r="AP237" s="181">
        <f t="shared" si="91"/>
        <v>0</v>
      </c>
      <c r="AQ237" s="138"/>
      <c r="AR237" s="138"/>
      <c r="AS237" s="99"/>
      <c r="AT237" s="99"/>
      <c r="AU237" s="138"/>
      <c r="AV237" s="96" t="s">
        <v>2324</v>
      </c>
      <c r="AW237" s="99" t="s">
        <v>174</v>
      </c>
      <c r="AX237" s="99"/>
      <c r="AY237" s="167">
        <f t="shared" si="92"/>
        <v>0</v>
      </c>
      <c r="AZ237" s="139">
        <f t="shared" si="80"/>
        <v>1</v>
      </c>
      <c r="BA237" s="139">
        <f>IF(T237="Invitación Privada",1,IF(T237="Invitación Pública",2,0))</f>
        <v>0</v>
      </c>
      <c r="BB237" s="132">
        <f>IF(AA237="CONTRATADO",IF(BA237=1,NETWORKDAYS.INTL(E237,AD237,1,[1]FESTIVOS!$B$3:$B$10)-1,AD237-E237))-BD237</f>
        <v>67</v>
      </c>
      <c r="BC237" s="156"/>
      <c r="BD237" s="162"/>
      <c r="BE237" s="163"/>
      <c r="BF237" s="160"/>
    </row>
    <row r="238" spans="2:58" ht="43.9" customHeight="1" x14ac:dyDescent="0.25">
      <c r="B238" s="100">
        <f t="shared" si="77"/>
        <v>220</v>
      </c>
      <c r="C238" s="110" t="s">
        <v>1636</v>
      </c>
      <c r="D238" s="99" t="s">
        <v>28</v>
      </c>
      <c r="E238" s="189">
        <v>44658</v>
      </c>
      <c r="F238" s="268" t="s">
        <v>4434</v>
      </c>
      <c r="G238" s="96" t="s">
        <v>1637</v>
      </c>
      <c r="H238" s="96" t="s">
        <v>1638</v>
      </c>
      <c r="I238" s="96" t="s">
        <v>146</v>
      </c>
      <c r="J238" s="133" t="s">
        <v>1639</v>
      </c>
      <c r="K238" s="344">
        <v>679825861</v>
      </c>
      <c r="L238" s="188" t="s">
        <v>3025</v>
      </c>
      <c r="M238" s="99" t="s">
        <v>1894</v>
      </c>
      <c r="N238" s="99"/>
      <c r="O238" s="99">
        <v>202202777</v>
      </c>
      <c r="P238" s="185">
        <v>680000000</v>
      </c>
      <c r="Q238" s="96" t="s">
        <v>146</v>
      </c>
      <c r="R238" s="96" t="s">
        <v>146</v>
      </c>
      <c r="S238" s="99" t="s">
        <v>1560</v>
      </c>
      <c r="T238" s="111" t="s">
        <v>40</v>
      </c>
      <c r="U238" s="96" t="s">
        <v>187</v>
      </c>
      <c r="V238" s="192">
        <v>44678</v>
      </c>
      <c r="W238" s="186" t="e">
        <f>+$D$4-E238</f>
        <v>#VALUE!</v>
      </c>
      <c r="X238" s="186" t="e">
        <f>$D$4-V238</f>
        <v>#VALUE!</v>
      </c>
      <c r="Y238" s="99" t="s">
        <v>1317</v>
      </c>
      <c r="Z238" s="96" t="s">
        <v>168</v>
      </c>
      <c r="AA238" s="96" t="s">
        <v>169</v>
      </c>
      <c r="AB238" s="96" t="s">
        <v>2448</v>
      </c>
      <c r="AC238" s="99"/>
      <c r="AD238" s="97">
        <v>44805</v>
      </c>
      <c r="AE238" s="183" t="s">
        <v>4262</v>
      </c>
      <c r="AF238" s="183"/>
      <c r="AG238" s="186">
        <f t="shared" si="81"/>
        <v>147</v>
      </c>
      <c r="AH238" s="187">
        <f t="shared" si="82"/>
        <v>127</v>
      </c>
      <c r="AI238" s="99" t="s">
        <v>146</v>
      </c>
      <c r="AJ238" s="96" t="s">
        <v>155</v>
      </c>
      <c r="AK238" s="99" t="s">
        <v>3679</v>
      </c>
      <c r="AL238" s="97">
        <v>44778</v>
      </c>
      <c r="AM238" s="209">
        <v>672598183</v>
      </c>
      <c r="AN238" s="96" t="s">
        <v>3680</v>
      </c>
      <c r="AO238" s="99">
        <v>202207812</v>
      </c>
      <c r="AP238" s="181">
        <f t="shared" si="91"/>
        <v>7227678</v>
      </c>
      <c r="AQ238" s="193"/>
      <c r="AR238" s="193"/>
      <c r="AS238" s="99"/>
      <c r="AT238" s="99"/>
      <c r="AU238" s="193"/>
      <c r="AV238" s="99" t="s">
        <v>174</v>
      </c>
      <c r="AW238" s="99" t="s">
        <v>175</v>
      </c>
      <c r="AX238" s="96" t="s">
        <v>2381</v>
      </c>
      <c r="AY238" s="167">
        <f t="shared" si="92"/>
        <v>1.0631660862927954E-2</v>
      </c>
      <c r="AZ238" s="139">
        <f t="shared" si="80"/>
        <v>1</v>
      </c>
      <c r="BA238" s="139">
        <f>IF(T238="Invitación Privada",1,IF(T238="Invitación Pública",2,0))</f>
        <v>2</v>
      </c>
      <c r="BB238" s="132">
        <f>IF(AA238="CONTRATADO",IF(BA238=1,NETWORKDAYS.INTL(E238,AD238,1,[1]FESTIVOS!$B$3:$B$10)-1,AD238-E238))-BD238</f>
        <v>147</v>
      </c>
      <c r="BD238" s="207"/>
      <c r="BE238" s="208"/>
      <c r="BF238" s="156"/>
    </row>
    <row r="239" spans="2:58" ht="43.9" customHeight="1" x14ac:dyDescent="0.25">
      <c r="B239" s="100">
        <f t="shared" si="77"/>
        <v>221</v>
      </c>
      <c r="C239" s="293" t="s">
        <v>1568</v>
      </c>
      <c r="D239" s="265" t="s">
        <v>28</v>
      </c>
      <c r="E239" s="272">
        <v>44658</v>
      </c>
      <c r="F239" s="268" t="s">
        <v>4434</v>
      </c>
      <c r="G239" s="269" t="s">
        <v>1569</v>
      </c>
      <c r="H239" s="265" t="s">
        <v>1570</v>
      </c>
      <c r="I239" s="265" t="s">
        <v>146</v>
      </c>
      <c r="J239" s="269" t="s">
        <v>1571</v>
      </c>
      <c r="K239" s="342">
        <v>1310994372</v>
      </c>
      <c r="L239" s="282"/>
      <c r="M239" s="265"/>
      <c r="N239" s="302" t="str">
        <f>MID(M239,5,3)</f>
        <v/>
      </c>
      <c r="O239" s="265" t="s">
        <v>1572</v>
      </c>
      <c r="P239" s="271"/>
      <c r="Q239" s="265" t="s">
        <v>146</v>
      </c>
      <c r="R239" s="265" t="s">
        <v>146</v>
      </c>
      <c r="S239" s="265" t="s">
        <v>1560</v>
      </c>
      <c r="T239" s="280" t="str">
        <f>(IF(N239="IPU","INVITACION PUBLICA",(IF(N239="IP-","INVITACION PRIVADA"," "))))</f>
        <v xml:space="preserve"> </v>
      </c>
      <c r="U239" s="269" t="s">
        <v>1326</v>
      </c>
      <c r="V239" s="265"/>
      <c r="W239" s="303" t="e">
        <f>+$D$4-E239</f>
        <v>#VALUE!</v>
      </c>
      <c r="X239" s="303" t="e">
        <f>$D$4-V239</f>
        <v>#VALUE!</v>
      </c>
      <c r="Y239" s="265" t="s">
        <v>1300</v>
      </c>
      <c r="Z239" s="265" t="s">
        <v>214</v>
      </c>
      <c r="AA239" s="265" t="s">
        <v>215</v>
      </c>
      <c r="AB239" s="265"/>
      <c r="AC239" s="304" t="s">
        <v>1573</v>
      </c>
      <c r="AD239" s="285">
        <v>44673</v>
      </c>
      <c r="AE239" s="285"/>
      <c r="AF239" s="305" t="str">
        <f>+IF(AD239="","",TEXT(AD239,"mmm"))</f>
        <v>abr</v>
      </c>
      <c r="AG239" s="306">
        <f t="shared" si="81"/>
        <v>15</v>
      </c>
      <c r="AH239" s="307">
        <f t="shared" si="82"/>
        <v>44673</v>
      </c>
      <c r="AI239" s="265"/>
      <c r="AJ239" s="265" t="s">
        <v>155</v>
      </c>
      <c r="AK239" s="265"/>
      <c r="AL239" s="265"/>
      <c r="AM239" s="309"/>
      <c r="AN239" s="269"/>
      <c r="AO239" s="265"/>
      <c r="AP239" s="309"/>
      <c r="AQ239" s="289"/>
      <c r="AR239" s="269"/>
      <c r="AS239" s="265"/>
      <c r="AT239" s="260"/>
      <c r="AU239" s="260"/>
      <c r="AV239" s="200"/>
      <c r="AW239" s="200"/>
      <c r="AX239" s="200"/>
      <c r="AY239" s="200"/>
      <c r="AZ239" s="139">
        <f t="shared" si="80"/>
        <v>1</v>
      </c>
      <c r="BA239" s="200"/>
      <c r="BB239" s="203"/>
      <c r="BC239" s="95"/>
      <c r="BD239" s="2"/>
      <c r="BE239" s="2"/>
    </row>
    <row r="240" spans="2:58" ht="43.9" customHeight="1" x14ac:dyDescent="0.25">
      <c r="B240" s="100">
        <f t="shared" si="77"/>
        <v>222</v>
      </c>
      <c r="C240" s="293" t="s">
        <v>1640</v>
      </c>
      <c r="D240" s="265" t="s">
        <v>28</v>
      </c>
      <c r="E240" s="272">
        <v>44658</v>
      </c>
      <c r="F240" s="268" t="s">
        <v>4434</v>
      </c>
      <c r="G240" s="269" t="s">
        <v>146</v>
      </c>
      <c r="H240" s="265" t="s">
        <v>1641</v>
      </c>
      <c r="I240" s="265" t="s">
        <v>146</v>
      </c>
      <c r="J240" s="269" t="s">
        <v>1642</v>
      </c>
      <c r="K240" s="342">
        <v>9647132101</v>
      </c>
      <c r="L240" s="282"/>
      <c r="M240" s="295" t="s">
        <v>1895</v>
      </c>
      <c r="N240" s="302" t="str">
        <f>MID(M240,5,3)</f>
        <v>IPU</v>
      </c>
      <c r="O240" s="265" t="s">
        <v>146</v>
      </c>
      <c r="P240" s="271"/>
      <c r="Q240" s="265" t="s">
        <v>146</v>
      </c>
      <c r="R240" s="265" t="s">
        <v>146</v>
      </c>
      <c r="S240" s="265" t="s">
        <v>1560</v>
      </c>
      <c r="T240" s="111" t="s">
        <v>40</v>
      </c>
      <c r="U240" s="269" t="s">
        <v>187</v>
      </c>
      <c r="V240" s="285">
        <v>44672</v>
      </c>
      <c r="W240" s="303" t="e">
        <f>+$D$4-E240</f>
        <v>#VALUE!</v>
      </c>
      <c r="X240" s="303" t="e">
        <f>$D$4-V240</f>
        <v>#VALUE!</v>
      </c>
      <c r="Y240" s="265"/>
      <c r="Z240" s="265" t="s">
        <v>4064</v>
      </c>
      <c r="AA240" s="265" t="s">
        <v>153</v>
      </c>
      <c r="AB240" s="272">
        <v>44895</v>
      </c>
      <c r="AC240" s="304" t="s">
        <v>4065</v>
      </c>
      <c r="AD240" s="272">
        <v>44889</v>
      </c>
      <c r="AE240" s="265"/>
      <c r="AF240" s="305" t="str">
        <f>+IF(AD240="","",TEXT(AD240,"mmm"))</f>
        <v>nov</v>
      </c>
      <c r="AG240" s="306">
        <f t="shared" si="81"/>
        <v>231</v>
      </c>
      <c r="AH240" s="307">
        <f t="shared" si="82"/>
        <v>217</v>
      </c>
      <c r="AI240" s="265"/>
      <c r="AJ240" s="265" t="s">
        <v>155</v>
      </c>
      <c r="AK240" s="265"/>
      <c r="AL240" s="265"/>
      <c r="AM240" s="265"/>
      <c r="AN240" s="309"/>
      <c r="AO240" s="269"/>
      <c r="AP240" s="265"/>
      <c r="AQ240" s="309"/>
      <c r="AR240" s="289"/>
      <c r="AS240" s="269"/>
      <c r="AT240" s="265"/>
      <c r="AU240" s="260"/>
      <c r="AV240" s="260"/>
      <c r="AW240" s="200"/>
      <c r="AX240" s="200"/>
      <c r="AY240" s="200"/>
      <c r="AZ240" s="139">
        <f t="shared" si="80"/>
        <v>1</v>
      </c>
      <c r="BA240" s="200"/>
      <c r="BB240" s="200"/>
      <c r="BC240" s="3"/>
      <c r="BD240" s="95"/>
      <c r="BE240" s="2"/>
      <c r="BF240" s="160"/>
    </row>
    <row r="241" spans="2:59" ht="43.9" customHeight="1" x14ac:dyDescent="0.25">
      <c r="B241" s="100">
        <f t="shared" si="77"/>
        <v>223</v>
      </c>
      <c r="C241" s="110" t="s">
        <v>1643</v>
      </c>
      <c r="D241" s="99" t="s">
        <v>28</v>
      </c>
      <c r="E241" s="142">
        <v>44659</v>
      </c>
      <c r="F241" s="268" t="s">
        <v>4434</v>
      </c>
      <c r="G241" s="143" t="s">
        <v>1644</v>
      </c>
      <c r="H241" s="96" t="s">
        <v>1196</v>
      </c>
      <c r="I241" s="96" t="s">
        <v>146</v>
      </c>
      <c r="J241" s="133" t="s">
        <v>1645</v>
      </c>
      <c r="K241" s="343">
        <v>200500000</v>
      </c>
      <c r="L241" s="99" t="s">
        <v>1182</v>
      </c>
      <c r="M241" s="96" t="s">
        <v>1896</v>
      </c>
      <c r="N241" s="96"/>
      <c r="O241" s="99">
        <v>202202197</v>
      </c>
      <c r="P241" s="169">
        <v>200500000</v>
      </c>
      <c r="Q241" s="96" t="s">
        <v>146</v>
      </c>
      <c r="R241" s="96" t="s">
        <v>146</v>
      </c>
      <c r="S241" s="99" t="s">
        <v>1561</v>
      </c>
      <c r="T241" s="111" t="s">
        <v>40</v>
      </c>
      <c r="U241" s="96" t="s">
        <v>187</v>
      </c>
      <c r="V241" s="119">
        <v>44659</v>
      </c>
      <c r="W241" s="170">
        <f>+$D$2-E241</f>
        <v>-44659</v>
      </c>
      <c r="X241" s="170">
        <f>$D$2-V241</f>
        <v>-44659</v>
      </c>
      <c r="Y241" s="99" t="s">
        <v>1317</v>
      </c>
      <c r="Z241" s="96" t="s">
        <v>168</v>
      </c>
      <c r="AA241" s="96" t="s">
        <v>169</v>
      </c>
      <c r="AB241" s="96" t="s">
        <v>3089</v>
      </c>
      <c r="AC241" s="116"/>
      <c r="AD241" s="119">
        <v>44753</v>
      </c>
      <c r="AE241" s="183" t="s">
        <v>4437</v>
      </c>
      <c r="AF241" s="171"/>
      <c r="AG241" s="170">
        <f t="shared" si="81"/>
        <v>94</v>
      </c>
      <c r="AH241" s="144">
        <f t="shared" si="82"/>
        <v>94</v>
      </c>
      <c r="AI241" s="99" t="s">
        <v>146</v>
      </c>
      <c r="AJ241" s="96" t="s">
        <v>155</v>
      </c>
      <c r="AK241" s="99" t="s">
        <v>3090</v>
      </c>
      <c r="AL241" s="119">
        <v>44728</v>
      </c>
      <c r="AM241" s="210">
        <v>194435701</v>
      </c>
      <c r="AN241" s="96" t="s">
        <v>3091</v>
      </c>
      <c r="AO241" s="99">
        <v>202205857</v>
      </c>
      <c r="AP241" s="181">
        <f t="shared" ref="AP241" si="93">+K241-AM241</f>
        <v>6064299</v>
      </c>
      <c r="AQ241" s="138"/>
      <c r="AR241" s="138"/>
      <c r="AS241" s="99"/>
      <c r="AT241" s="99"/>
      <c r="AU241" s="138"/>
      <c r="AV241" s="96" t="s">
        <v>174</v>
      </c>
      <c r="AW241" s="99" t="s">
        <v>175</v>
      </c>
      <c r="AX241" s="96" t="s">
        <v>2379</v>
      </c>
      <c r="AY241" s="167">
        <f>+AP241/K241</f>
        <v>3.0245880299251869E-2</v>
      </c>
      <c r="AZ241" s="139">
        <f t="shared" si="80"/>
        <v>1</v>
      </c>
      <c r="BA241" s="139">
        <f>IF(T241="Invitación Privada",1,IF(T241="Invitación Pública",2,0))</f>
        <v>2</v>
      </c>
      <c r="BB241" s="132">
        <f>IF(AA241="CONTRATADO",IF(BA241=1,NETWORKDAYS.INTL(E241,AD241,1,[1]FESTIVOS!$B$3:$B$10)-1,AD241-E241))-BD241</f>
        <v>94</v>
      </c>
      <c r="BC241" s="156"/>
      <c r="BD241" s="162"/>
      <c r="BE241" s="163"/>
      <c r="BF241" s="156"/>
    </row>
    <row r="242" spans="2:59" ht="43.9" customHeight="1" x14ac:dyDescent="0.25">
      <c r="B242" s="100">
        <f t="shared" si="77"/>
        <v>224</v>
      </c>
      <c r="C242" s="293" t="s">
        <v>1646</v>
      </c>
      <c r="D242" s="265" t="s">
        <v>28</v>
      </c>
      <c r="E242" s="272">
        <v>44659</v>
      </c>
      <c r="F242" s="268" t="s">
        <v>4434</v>
      </c>
      <c r="G242" s="269" t="s">
        <v>3915</v>
      </c>
      <c r="H242" s="265" t="s">
        <v>1256</v>
      </c>
      <c r="I242" s="265" t="s">
        <v>146</v>
      </c>
      <c r="J242" s="269" t="s">
        <v>1257</v>
      </c>
      <c r="K242" s="342">
        <v>5580200</v>
      </c>
      <c r="L242" s="282"/>
      <c r="M242" s="265" t="s">
        <v>1869</v>
      </c>
      <c r="N242" s="302" t="str">
        <f>MID(M242,5,3)</f>
        <v>IPU</v>
      </c>
      <c r="O242" s="265">
        <v>202200777</v>
      </c>
      <c r="P242" s="271"/>
      <c r="Q242" s="265" t="s">
        <v>146</v>
      </c>
      <c r="R242" s="265" t="s">
        <v>146</v>
      </c>
      <c r="S242" s="265" t="s">
        <v>1561</v>
      </c>
      <c r="T242" s="111" t="s">
        <v>40</v>
      </c>
      <c r="U242" s="269" t="s">
        <v>572</v>
      </c>
      <c r="V242" s="285">
        <v>44659</v>
      </c>
      <c r="W242" s="303" t="e">
        <f>+$D$4-E242</f>
        <v>#VALUE!</v>
      </c>
      <c r="X242" s="303" t="e">
        <f>$D$4-V242</f>
        <v>#VALUE!</v>
      </c>
      <c r="Y242" s="265" t="s">
        <v>1300</v>
      </c>
      <c r="Z242" s="265" t="s">
        <v>152</v>
      </c>
      <c r="AA242" s="265" t="s">
        <v>153</v>
      </c>
      <c r="AB242" s="265"/>
      <c r="AC242" s="304" t="s">
        <v>3916</v>
      </c>
      <c r="AD242" s="272">
        <v>44698</v>
      </c>
      <c r="AE242" s="272"/>
      <c r="AF242" s="305" t="str">
        <f>+IF(AD242="","",TEXT(AD242,"mmm"))</f>
        <v>may</v>
      </c>
      <c r="AG242" s="306">
        <f t="shared" si="81"/>
        <v>39</v>
      </c>
      <c r="AH242" s="307">
        <f t="shared" si="82"/>
        <v>39</v>
      </c>
      <c r="AI242" s="265"/>
      <c r="AJ242" s="265" t="s">
        <v>171</v>
      </c>
      <c r="AK242" s="265"/>
      <c r="AL242" s="265"/>
      <c r="AM242" s="265"/>
      <c r="AN242" s="309"/>
      <c r="AO242" s="269"/>
      <c r="AP242" s="265"/>
      <c r="AQ242" s="309"/>
      <c r="AR242" s="289"/>
      <c r="AS242" s="269"/>
      <c r="AT242" s="265"/>
      <c r="AU242" s="260"/>
      <c r="AV242" s="260"/>
      <c r="AW242" s="200"/>
      <c r="AX242" s="200"/>
      <c r="AY242" s="200"/>
      <c r="AZ242" s="139">
        <f t="shared" si="80"/>
        <v>1</v>
      </c>
      <c r="BA242" s="200"/>
      <c r="BB242" s="200"/>
      <c r="BC242" s="3"/>
      <c r="BD242" s="95"/>
      <c r="BE242" s="2"/>
    </row>
    <row r="243" spans="2:59" ht="43.9" customHeight="1" x14ac:dyDescent="0.25">
      <c r="B243" s="100">
        <f t="shared" si="77"/>
        <v>225</v>
      </c>
      <c r="C243" s="293" t="s">
        <v>1647</v>
      </c>
      <c r="D243" s="265" t="s">
        <v>28</v>
      </c>
      <c r="E243" s="272">
        <v>44670</v>
      </c>
      <c r="F243" s="268" t="s">
        <v>4434</v>
      </c>
      <c r="G243" s="269" t="s">
        <v>1648</v>
      </c>
      <c r="H243" s="265" t="s">
        <v>1649</v>
      </c>
      <c r="I243" s="265" t="s">
        <v>146</v>
      </c>
      <c r="J243" s="269" t="s">
        <v>1650</v>
      </c>
      <c r="K243" s="342">
        <v>97403342</v>
      </c>
      <c r="L243" s="282"/>
      <c r="M243" s="265" t="s">
        <v>1897</v>
      </c>
      <c r="N243" s="302" t="str">
        <f>MID(M243,5,3)</f>
        <v>IPU</v>
      </c>
      <c r="O243" s="265">
        <v>202203123</v>
      </c>
      <c r="P243" s="271"/>
      <c r="Q243" s="265" t="s">
        <v>146</v>
      </c>
      <c r="R243" s="265" t="s">
        <v>146</v>
      </c>
      <c r="S243" s="265" t="s">
        <v>1561</v>
      </c>
      <c r="T243" s="111" t="s">
        <v>40</v>
      </c>
      <c r="U243" s="269" t="s">
        <v>277</v>
      </c>
      <c r="V243" s="285">
        <v>44672</v>
      </c>
      <c r="W243" s="303" t="e">
        <f>+$D$4-E243</f>
        <v>#VALUE!</v>
      </c>
      <c r="X243" s="303" t="e">
        <f>$D$4-V243</f>
        <v>#VALUE!</v>
      </c>
      <c r="Y243" s="265" t="s">
        <v>1300</v>
      </c>
      <c r="Z243" s="265" t="s">
        <v>2055</v>
      </c>
      <c r="AA243" s="265" t="s">
        <v>153</v>
      </c>
      <c r="AB243" s="265"/>
      <c r="AC243" s="304" t="s">
        <v>2065</v>
      </c>
      <c r="AD243" s="272">
        <v>44715</v>
      </c>
      <c r="AE243" s="265"/>
      <c r="AF243" s="305" t="str">
        <f>+IF(AD243="","",TEXT(AD243,"mmm"))</f>
        <v>jun</v>
      </c>
      <c r="AG243" s="306">
        <f t="shared" si="81"/>
        <v>45</v>
      </c>
      <c r="AH243" s="307">
        <f t="shared" si="82"/>
        <v>43</v>
      </c>
      <c r="AI243" s="265"/>
      <c r="AJ243" s="265" t="s">
        <v>155</v>
      </c>
      <c r="AK243" s="265"/>
      <c r="AL243" s="265"/>
      <c r="AM243" s="265"/>
      <c r="AN243" s="309"/>
      <c r="AO243" s="269"/>
      <c r="AP243" s="265"/>
      <c r="AQ243" s="309"/>
      <c r="AR243" s="289"/>
      <c r="AS243" s="269"/>
      <c r="AT243" s="265"/>
      <c r="AU243" s="260"/>
      <c r="AV243" s="260"/>
      <c r="AW243" s="200"/>
      <c r="AX243" s="200"/>
      <c r="AY243" s="200"/>
      <c r="AZ243" s="139">
        <f t="shared" si="80"/>
        <v>1</v>
      </c>
      <c r="BA243" s="200"/>
      <c r="BB243" s="200"/>
      <c r="BC243" s="3"/>
      <c r="BD243" s="95"/>
      <c r="BE243" s="2"/>
      <c r="BF243" s="160"/>
    </row>
    <row r="244" spans="2:59" ht="43.9" customHeight="1" x14ac:dyDescent="0.25">
      <c r="B244" s="100">
        <f t="shared" si="77"/>
        <v>226</v>
      </c>
      <c r="C244" s="293" t="s">
        <v>1651</v>
      </c>
      <c r="D244" s="265" t="s">
        <v>28</v>
      </c>
      <c r="E244" s="272">
        <v>44670</v>
      </c>
      <c r="F244" s="268" t="s">
        <v>4434</v>
      </c>
      <c r="G244" s="269" t="s">
        <v>1231</v>
      </c>
      <c r="H244" s="265" t="s">
        <v>1652</v>
      </c>
      <c r="I244" s="265" t="s">
        <v>146</v>
      </c>
      <c r="J244" s="269" t="s">
        <v>1653</v>
      </c>
      <c r="K244" s="342">
        <v>29720250</v>
      </c>
      <c r="L244" s="282"/>
      <c r="M244" s="265" t="s">
        <v>1898</v>
      </c>
      <c r="N244" s="302" t="str">
        <f>MID(M244,5,3)</f>
        <v>IPU</v>
      </c>
      <c r="O244" s="265">
        <v>202200893</v>
      </c>
      <c r="P244" s="271"/>
      <c r="Q244" s="265" t="s">
        <v>146</v>
      </c>
      <c r="R244" s="265" t="s">
        <v>146</v>
      </c>
      <c r="S244" s="265" t="s">
        <v>1561</v>
      </c>
      <c r="T244" s="111" t="s">
        <v>40</v>
      </c>
      <c r="U244" s="269" t="s">
        <v>572</v>
      </c>
      <c r="V244" s="285">
        <v>44672</v>
      </c>
      <c r="W244" s="303" t="e">
        <f>+$D$4-E244</f>
        <v>#VALUE!</v>
      </c>
      <c r="X244" s="303" t="e">
        <f>$D$4-V244</f>
        <v>#VALUE!</v>
      </c>
      <c r="Y244" s="265" t="s">
        <v>1300</v>
      </c>
      <c r="Z244" s="265" t="s">
        <v>152</v>
      </c>
      <c r="AA244" s="265" t="s">
        <v>153</v>
      </c>
      <c r="AB244" s="265"/>
      <c r="AC244" s="304" t="s">
        <v>2087</v>
      </c>
      <c r="AD244" s="272">
        <v>44742</v>
      </c>
      <c r="AE244" s="265"/>
      <c r="AF244" s="305" t="str">
        <f>+IF(AD244="","",TEXT(AD244,"mmm"))</f>
        <v>jun</v>
      </c>
      <c r="AG244" s="321">
        <f t="shared" si="81"/>
        <v>72</v>
      </c>
      <c r="AH244" s="307">
        <f t="shared" si="82"/>
        <v>70</v>
      </c>
      <c r="AI244" s="265"/>
      <c r="AJ244" s="265" t="s">
        <v>171</v>
      </c>
      <c r="AK244" s="265"/>
      <c r="AL244" s="265"/>
      <c r="AM244" s="265"/>
      <c r="AN244" s="309"/>
      <c r="AO244" s="269"/>
      <c r="AP244" s="265"/>
      <c r="AQ244" s="309"/>
      <c r="AR244" s="289"/>
      <c r="AS244" s="269"/>
      <c r="AT244" s="265"/>
      <c r="AU244" s="260"/>
      <c r="AV244" s="260"/>
      <c r="AW244" s="200"/>
      <c r="AX244" s="200"/>
      <c r="AY244" s="200"/>
      <c r="AZ244" s="139">
        <f t="shared" si="80"/>
        <v>1</v>
      </c>
      <c r="BA244" s="200"/>
      <c r="BB244" s="200"/>
      <c r="BC244" s="3"/>
      <c r="BD244" s="95"/>
      <c r="BE244" s="2"/>
    </row>
    <row r="245" spans="2:59" ht="43.9" customHeight="1" x14ac:dyDescent="0.25">
      <c r="B245" s="100">
        <f t="shared" si="77"/>
        <v>227</v>
      </c>
      <c r="C245" s="293" t="s">
        <v>1654</v>
      </c>
      <c r="D245" s="265" t="s">
        <v>28</v>
      </c>
      <c r="E245" s="272">
        <v>44670</v>
      </c>
      <c r="F245" s="268" t="s">
        <v>4434</v>
      </c>
      <c r="G245" s="269" t="s">
        <v>1655</v>
      </c>
      <c r="H245" s="265" t="s">
        <v>1656</v>
      </c>
      <c r="I245" s="265" t="s">
        <v>146</v>
      </c>
      <c r="J245" s="269" t="s">
        <v>1657</v>
      </c>
      <c r="K245" s="342">
        <v>46594222</v>
      </c>
      <c r="L245" s="282"/>
      <c r="M245" s="265" t="s">
        <v>1899</v>
      </c>
      <c r="N245" s="302" t="str">
        <f>MID(M245,5,3)</f>
        <v>IPU</v>
      </c>
      <c r="O245" s="265" t="s">
        <v>1658</v>
      </c>
      <c r="P245" s="271"/>
      <c r="Q245" s="265" t="s">
        <v>146</v>
      </c>
      <c r="R245" s="265" t="s">
        <v>146</v>
      </c>
      <c r="S245" s="265" t="s">
        <v>1561</v>
      </c>
      <c r="T245" s="111" t="s">
        <v>40</v>
      </c>
      <c r="U245" s="269" t="s">
        <v>572</v>
      </c>
      <c r="V245" s="285">
        <v>44672</v>
      </c>
      <c r="W245" s="303" t="e">
        <f>+$D$4-E245</f>
        <v>#VALUE!</v>
      </c>
      <c r="X245" s="303" t="e">
        <f>$D$4-V245</f>
        <v>#VALUE!</v>
      </c>
      <c r="Y245" s="265" t="s">
        <v>1300</v>
      </c>
      <c r="Z245" s="265" t="s">
        <v>2055</v>
      </c>
      <c r="AA245" s="265" t="s">
        <v>153</v>
      </c>
      <c r="AB245" s="265"/>
      <c r="AC245" s="304" t="s">
        <v>1900</v>
      </c>
      <c r="AD245" s="272">
        <v>44714</v>
      </c>
      <c r="AE245" s="265"/>
      <c r="AF245" s="305" t="str">
        <f>+IF(AD245="","",TEXT(AD245,"mmm"))</f>
        <v>jun</v>
      </c>
      <c r="AG245" s="306">
        <f t="shared" si="81"/>
        <v>44</v>
      </c>
      <c r="AH245" s="307">
        <f t="shared" si="82"/>
        <v>42</v>
      </c>
      <c r="AI245" s="265"/>
      <c r="AJ245" s="265" t="s">
        <v>155</v>
      </c>
      <c r="AK245" s="265"/>
      <c r="AL245" s="265"/>
      <c r="AM245" s="265"/>
      <c r="AN245" s="309"/>
      <c r="AO245" s="269"/>
      <c r="AP245" s="265"/>
      <c r="AQ245" s="309"/>
      <c r="AR245" s="289"/>
      <c r="AS245" s="269"/>
      <c r="AT245" s="265"/>
      <c r="AU245" s="260"/>
      <c r="AV245" s="260"/>
      <c r="AW245" s="200"/>
      <c r="AX245" s="200"/>
      <c r="AY245" s="200"/>
      <c r="AZ245" s="139">
        <f t="shared" si="80"/>
        <v>1</v>
      </c>
      <c r="BA245" s="200"/>
      <c r="BB245" s="200"/>
      <c r="BC245" s="3"/>
      <c r="BD245" s="95"/>
      <c r="BE245" s="2"/>
      <c r="BF245" s="160"/>
    </row>
    <row r="246" spans="2:59" ht="43.9" customHeight="1" x14ac:dyDescent="0.25">
      <c r="B246" s="100">
        <f t="shared" si="77"/>
        <v>228</v>
      </c>
      <c r="C246" s="293" t="s">
        <v>1659</v>
      </c>
      <c r="D246" s="265" t="s">
        <v>28</v>
      </c>
      <c r="E246" s="272">
        <v>44670</v>
      </c>
      <c r="F246" s="268" t="s">
        <v>4434</v>
      </c>
      <c r="G246" s="269" t="s">
        <v>146</v>
      </c>
      <c r="H246" s="265" t="s">
        <v>1660</v>
      </c>
      <c r="I246" s="265" t="s">
        <v>146</v>
      </c>
      <c r="J246" s="269" t="s">
        <v>1661</v>
      </c>
      <c r="K246" s="342" t="s">
        <v>146</v>
      </c>
      <c r="L246" s="282"/>
      <c r="M246" s="295" t="s">
        <v>1901</v>
      </c>
      <c r="N246" s="302" t="str">
        <f>MID(M246,5,3)</f>
        <v>IPU</v>
      </c>
      <c r="O246" s="265" t="s">
        <v>146</v>
      </c>
      <c r="P246" s="271"/>
      <c r="Q246" s="265" t="s">
        <v>146</v>
      </c>
      <c r="R246" s="265" t="s">
        <v>146</v>
      </c>
      <c r="S246" s="265" t="s">
        <v>1560</v>
      </c>
      <c r="T246" s="111" t="s">
        <v>40</v>
      </c>
      <c r="U246" s="269" t="s">
        <v>187</v>
      </c>
      <c r="V246" s="285">
        <v>44672</v>
      </c>
      <c r="W246" s="303" t="e">
        <f>+$D$4-E246</f>
        <v>#VALUE!</v>
      </c>
      <c r="X246" s="303" t="e">
        <f>$D$4-V246</f>
        <v>#VALUE!</v>
      </c>
      <c r="Y246" s="265"/>
      <c r="Z246" s="265" t="s">
        <v>214</v>
      </c>
      <c r="AA246" s="265" t="s">
        <v>215</v>
      </c>
      <c r="AB246" s="272">
        <v>44897</v>
      </c>
      <c r="AC246" s="304" t="s">
        <v>4361</v>
      </c>
      <c r="AD246" s="272">
        <v>44897</v>
      </c>
      <c r="AE246" s="265"/>
      <c r="AF246" s="305" t="str">
        <f>+IF(AD246="","",TEXT(AD246,"mmm"))</f>
        <v>dic</v>
      </c>
      <c r="AG246" s="306">
        <f t="shared" si="81"/>
        <v>227</v>
      </c>
      <c r="AH246" s="307">
        <f t="shared" si="82"/>
        <v>225</v>
      </c>
      <c r="AI246" s="265"/>
      <c r="AJ246" s="265" t="s">
        <v>155</v>
      </c>
      <c r="AK246" s="265"/>
      <c r="AL246" s="265"/>
      <c r="AM246" s="309"/>
      <c r="AN246" s="269"/>
      <c r="AO246" s="265"/>
      <c r="AP246" s="309"/>
      <c r="AQ246" s="289"/>
      <c r="AR246" s="269"/>
      <c r="AS246" s="265"/>
      <c r="AT246" s="260"/>
      <c r="AU246" s="260"/>
      <c r="AV246" s="200"/>
      <c r="AW246" s="200"/>
      <c r="AX246" s="200"/>
      <c r="AY246" s="200"/>
      <c r="AZ246" s="139">
        <f t="shared" si="80"/>
        <v>1</v>
      </c>
      <c r="BA246" s="200"/>
      <c r="BB246" s="203"/>
      <c r="BC246" s="95"/>
      <c r="BD246" s="2"/>
      <c r="BE246" s="2"/>
    </row>
    <row r="247" spans="2:59" ht="43.9" customHeight="1" x14ac:dyDescent="0.25">
      <c r="B247" s="100">
        <f t="shared" si="77"/>
        <v>229</v>
      </c>
      <c r="C247" s="110" t="s">
        <v>1662</v>
      </c>
      <c r="D247" s="99" t="s">
        <v>32</v>
      </c>
      <c r="E247" s="140">
        <v>44670</v>
      </c>
      <c r="F247" s="268" t="s">
        <v>4434</v>
      </c>
      <c r="G247" s="96" t="s">
        <v>1663</v>
      </c>
      <c r="H247" s="96" t="s">
        <v>1664</v>
      </c>
      <c r="I247" s="96" t="s">
        <v>1224</v>
      </c>
      <c r="J247" s="133" t="s">
        <v>1665</v>
      </c>
      <c r="K247" s="348">
        <f>115071867+35902411</f>
        <v>150974278</v>
      </c>
      <c r="L247" s="99" t="s">
        <v>298</v>
      </c>
      <c r="M247" s="99" t="s">
        <v>146</v>
      </c>
      <c r="N247" s="99"/>
      <c r="O247" s="99">
        <v>202203560</v>
      </c>
      <c r="P247" s="173"/>
      <c r="Q247" s="96" t="s">
        <v>146</v>
      </c>
      <c r="R247" s="96" t="s">
        <v>146</v>
      </c>
      <c r="S247" s="99" t="s">
        <v>146</v>
      </c>
      <c r="T247" s="96" t="s">
        <v>230</v>
      </c>
      <c r="U247" s="96" t="s">
        <v>29</v>
      </c>
      <c r="V247" s="97">
        <v>44671</v>
      </c>
      <c r="W247" s="166" t="e">
        <f>+#REF!-E247</f>
        <v>#REF!</v>
      </c>
      <c r="X247" s="166" t="e">
        <f>#REF!-V247</f>
        <v>#REF!</v>
      </c>
      <c r="Y247" s="99" t="s">
        <v>1317</v>
      </c>
      <c r="Z247" s="96" t="s">
        <v>168</v>
      </c>
      <c r="AA247" s="96" t="s">
        <v>169</v>
      </c>
      <c r="AB247" s="96" t="s">
        <v>2362</v>
      </c>
      <c r="AC247" s="99"/>
      <c r="AD247" s="97">
        <v>44721</v>
      </c>
      <c r="AE247" s="183" t="s">
        <v>4436</v>
      </c>
      <c r="AF247" s="98"/>
      <c r="AG247" s="166">
        <f t="shared" si="81"/>
        <v>51</v>
      </c>
      <c r="AH247" s="166">
        <f t="shared" si="82"/>
        <v>50</v>
      </c>
      <c r="AI247" s="99" t="s">
        <v>146</v>
      </c>
      <c r="AJ247" s="96" t="s">
        <v>155</v>
      </c>
      <c r="AK247" s="96" t="s">
        <v>2363</v>
      </c>
      <c r="AL247" s="97">
        <v>44706</v>
      </c>
      <c r="AM247" s="211">
        <f>115071867+35902411</f>
        <v>150974278</v>
      </c>
      <c r="AN247" s="96" t="s">
        <v>2324</v>
      </c>
      <c r="AO247" s="96" t="s">
        <v>2364</v>
      </c>
      <c r="AP247" s="181">
        <f t="shared" ref="AP247:AP248" si="94">+K247-AM247</f>
        <v>0</v>
      </c>
      <c r="AQ247" s="138"/>
      <c r="AR247" s="138"/>
      <c r="AS247" s="99"/>
      <c r="AT247" s="99"/>
      <c r="AU247" s="138"/>
      <c r="AV247" s="99" t="s">
        <v>1001</v>
      </c>
      <c r="AW247" s="99" t="s">
        <v>1002</v>
      </c>
      <c r="AX247" s="99"/>
      <c r="AY247" s="167">
        <f t="shared" ref="AY247:AY248" si="95">+AP247/K247</f>
        <v>0</v>
      </c>
      <c r="AZ247" s="139">
        <f t="shared" si="80"/>
        <v>1</v>
      </c>
      <c r="BA247" s="139">
        <f>IF(T247="Invitación Privada",1,IF(T247="Invitación Pública",2,0))</f>
        <v>0</v>
      </c>
      <c r="BB247" s="132">
        <f>IF(AA247="CONTRATADO",IF(BA247=1,NETWORKDAYS.INTL(E247,AD247,1,[1]FESTIVOS!$B$3:$B$10)-1,AD247-E247))-BD247</f>
        <v>51</v>
      </c>
      <c r="BC247" s="156"/>
      <c r="BD247" s="96"/>
      <c r="BE247" s="216"/>
      <c r="BF247" s="160"/>
      <c r="BG247" s="160"/>
    </row>
    <row r="248" spans="2:59" ht="43.9" customHeight="1" x14ac:dyDescent="0.25">
      <c r="B248" s="100">
        <f t="shared" si="77"/>
        <v>230</v>
      </c>
      <c r="C248" s="110" t="s">
        <v>1666</v>
      </c>
      <c r="D248" s="99" t="s">
        <v>32</v>
      </c>
      <c r="E248" s="140">
        <v>44671</v>
      </c>
      <c r="F248" s="268" t="s">
        <v>4434</v>
      </c>
      <c r="G248" s="96" t="s">
        <v>1667</v>
      </c>
      <c r="H248" s="96" t="s">
        <v>1668</v>
      </c>
      <c r="I248" s="96" t="s">
        <v>226</v>
      </c>
      <c r="J248" s="133" t="s">
        <v>1669</v>
      </c>
      <c r="K248" s="341">
        <v>606231596</v>
      </c>
      <c r="L248" s="138"/>
      <c r="M248" s="99" t="s">
        <v>146</v>
      </c>
      <c r="N248" s="99"/>
      <c r="O248" s="99">
        <v>202203552</v>
      </c>
      <c r="P248" s="173"/>
      <c r="Q248" s="96" t="s">
        <v>146</v>
      </c>
      <c r="R248" s="96" t="s">
        <v>146</v>
      </c>
      <c r="S248" s="99" t="s">
        <v>146</v>
      </c>
      <c r="T248" s="96" t="s">
        <v>230</v>
      </c>
      <c r="U248" s="96" t="s">
        <v>35</v>
      </c>
      <c r="V248" s="97">
        <v>44671</v>
      </c>
      <c r="W248" s="166">
        <v>43</v>
      </c>
      <c r="X248" s="166">
        <v>43</v>
      </c>
      <c r="Y248" s="99" t="s">
        <v>1317</v>
      </c>
      <c r="Z248" s="96" t="s">
        <v>168</v>
      </c>
      <c r="AA248" s="96" t="s">
        <v>169</v>
      </c>
      <c r="AB248" s="96" t="s">
        <v>1861</v>
      </c>
      <c r="AC248" s="99"/>
      <c r="AD248" s="97">
        <v>44704</v>
      </c>
      <c r="AE248" s="362" t="s">
        <v>4435</v>
      </c>
      <c r="AF248" s="98"/>
      <c r="AG248" s="166">
        <v>33</v>
      </c>
      <c r="AH248" s="166">
        <v>33</v>
      </c>
      <c r="AI248" s="99" t="s">
        <v>146</v>
      </c>
      <c r="AJ248" s="96" t="s">
        <v>171</v>
      </c>
      <c r="AK248" s="96" t="s">
        <v>2053</v>
      </c>
      <c r="AL248" s="97">
        <v>44694</v>
      </c>
      <c r="AM248" s="211">
        <v>575920016</v>
      </c>
      <c r="AN248" s="96" t="s">
        <v>1557</v>
      </c>
      <c r="AO248" s="99"/>
      <c r="AP248" s="181">
        <f t="shared" si="94"/>
        <v>30311580</v>
      </c>
      <c r="AQ248" s="138"/>
      <c r="AR248" s="138"/>
      <c r="AS248" s="99"/>
      <c r="AT248" s="99"/>
      <c r="AU248" s="138"/>
      <c r="AV248" s="99"/>
      <c r="AW248" s="99"/>
      <c r="AX248" s="99"/>
      <c r="AY248" s="167">
        <f t="shared" si="95"/>
        <v>5.0000000329906924E-2</v>
      </c>
      <c r="AZ248" s="139">
        <f t="shared" si="80"/>
        <v>1</v>
      </c>
      <c r="BA248" s="139">
        <f>IF(T248="Invitación Privada",1,IF(T248="Invitación Pública",2,0))</f>
        <v>0</v>
      </c>
      <c r="BB248" s="132">
        <f>IF(AA248="CONTRATADO",IF(BA248=1,NETWORKDAYS.INTL(E248,AD248,1,[1]FESTIVOS!$B$3:$B$10)-1,AD248-E248))-BD248</f>
        <v>33</v>
      </c>
      <c r="BC248" s="156"/>
      <c r="BD248" s="162">
        <v>0</v>
      </c>
      <c r="BE248" s="382" t="s">
        <v>2052</v>
      </c>
    </row>
    <row r="249" spans="2:59" ht="43.9" customHeight="1" x14ac:dyDescent="0.25">
      <c r="B249" s="100">
        <f t="shared" si="77"/>
        <v>231</v>
      </c>
      <c r="C249" s="293" t="s">
        <v>1574</v>
      </c>
      <c r="D249" s="265" t="s">
        <v>28</v>
      </c>
      <c r="E249" s="272">
        <v>44672</v>
      </c>
      <c r="F249" s="268" t="s">
        <v>4434</v>
      </c>
      <c r="G249" s="269" t="s">
        <v>1575</v>
      </c>
      <c r="H249" s="265" t="s">
        <v>1576</v>
      </c>
      <c r="I249" s="265" t="s">
        <v>146</v>
      </c>
      <c r="J249" s="269" t="s">
        <v>1577</v>
      </c>
      <c r="K249" s="342">
        <v>2199997563</v>
      </c>
      <c r="L249" s="282"/>
      <c r="M249" s="265"/>
      <c r="N249" s="302" t="str">
        <f>MID(M249,5,3)</f>
        <v/>
      </c>
      <c r="O249" s="265">
        <v>202200782</v>
      </c>
      <c r="P249" s="271"/>
      <c r="Q249" s="265" t="s">
        <v>146</v>
      </c>
      <c r="R249" s="265" t="s">
        <v>146</v>
      </c>
      <c r="S249" s="265" t="s">
        <v>1560</v>
      </c>
      <c r="T249" s="280" t="str">
        <f>(IF(N249="IPU","INVITACION PUBLICA",(IF(N249="IP-","INVITACION PRIVADA"," "))))</f>
        <v xml:space="preserve"> </v>
      </c>
      <c r="U249" s="269" t="s">
        <v>1326</v>
      </c>
      <c r="V249" s="265"/>
      <c r="W249" s="303" t="e">
        <f>+$D$4-E249</f>
        <v>#VALUE!</v>
      </c>
      <c r="X249" s="303" t="e">
        <f>$D$4-V249</f>
        <v>#VALUE!</v>
      </c>
      <c r="Y249" s="265" t="s">
        <v>1300</v>
      </c>
      <c r="Z249" s="265" t="s">
        <v>214</v>
      </c>
      <c r="AA249" s="265" t="s">
        <v>215</v>
      </c>
      <c r="AB249" s="265"/>
      <c r="AC249" s="304" t="s">
        <v>1578</v>
      </c>
      <c r="AD249" s="285">
        <v>44676</v>
      </c>
      <c r="AE249" s="285"/>
      <c r="AF249" s="305" t="str">
        <f>+IF(AD249="","",TEXT(AD249,"mmm"))</f>
        <v>abr</v>
      </c>
      <c r="AG249" s="306">
        <f>+AD249-E249</f>
        <v>4</v>
      </c>
      <c r="AH249" s="307">
        <f>+AD249-V249</f>
        <v>44676</v>
      </c>
      <c r="AI249" s="265"/>
      <c r="AJ249" s="265" t="s">
        <v>171</v>
      </c>
      <c r="AK249" s="265"/>
      <c r="AL249" s="265"/>
      <c r="AM249" s="309"/>
      <c r="AN249" s="269"/>
      <c r="AO249" s="265"/>
      <c r="AP249" s="309"/>
      <c r="AQ249" s="289"/>
      <c r="AR249" s="269"/>
      <c r="AS249" s="265"/>
      <c r="AT249" s="260"/>
      <c r="AU249" s="260"/>
      <c r="AV249" s="200"/>
      <c r="AW249" s="200"/>
      <c r="AX249" s="200"/>
      <c r="AY249" s="200"/>
      <c r="AZ249" s="139">
        <f t="shared" si="80"/>
        <v>1</v>
      </c>
      <c r="BA249" s="200"/>
      <c r="BB249" s="203"/>
      <c r="BC249" s="95"/>
      <c r="BD249" s="2"/>
      <c r="BE249" s="2"/>
      <c r="BF249" s="160"/>
    </row>
    <row r="250" spans="2:59" ht="43.9" customHeight="1" x14ac:dyDescent="0.25">
      <c r="B250" s="100">
        <f t="shared" si="77"/>
        <v>232</v>
      </c>
      <c r="C250" s="293" t="s">
        <v>1670</v>
      </c>
      <c r="D250" s="312" t="s">
        <v>32</v>
      </c>
      <c r="E250" s="272">
        <v>44672</v>
      </c>
      <c r="F250" s="268" t="s">
        <v>4434</v>
      </c>
      <c r="G250" s="269" t="s">
        <v>1671</v>
      </c>
      <c r="H250" s="265" t="s">
        <v>1672</v>
      </c>
      <c r="I250" s="265" t="s">
        <v>146</v>
      </c>
      <c r="J250" s="269" t="s">
        <v>1673</v>
      </c>
      <c r="K250" s="342">
        <v>1177021406</v>
      </c>
      <c r="L250" s="282"/>
      <c r="M250" s="265" t="s">
        <v>1902</v>
      </c>
      <c r="N250" s="302" t="str">
        <f>MID(M250,5,3)</f>
        <v>IPU</v>
      </c>
      <c r="O250" s="265">
        <v>202202181</v>
      </c>
      <c r="P250" s="271"/>
      <c r="Q250" s="265" t="s">
        <v>146</v>
      </c>
      <c r="R250" s="265" t="s">
        <v>146</v>
      </c>
      <c r="S250" s="265" t="s">
        <v>1560</v>
      </c>
      <c r="T250" s="111" t="s">
        <v>40</v>
      </c>
      <c r="U250" s="269" t="s">
        <v>187</v>
      </c>
      <c r="V250" s="285">
        <v>44673</v>
      </c>
      <c r="W250" s="303" t="e">
        <f>+$D$4-E250</f>
        <v>#VALUE!</v>
      </c>
      <c r="X250" s="303" t="e">
        <f>$D$4-V250</f>
        <v>#VALUE!</v>
      </c>
      <c r="Y250" s="265" t="s">
        <v>1300</v>
      </c>
      <c r="Z250" s="265" t="s">
        <v>152</v>
      </c>
      <c r="AA250" s="265" t="s">
        <v>153</v>
      </c>
      <c r="AB250" s="265"/>
      <c r="AC250" s="304" t="s">
        <v>2066</v>
      </c>
      <c r="AD250" s="272">
        <v>44721</v>
      </c>
      <c r="AE250" s="265"/>
      <c r="AF250" s="305" t="str">
        <f>+IF(AD250="","",TEXT(AD250,"mmm"))</f>
        <v>jun</v>
      </c>
      <c r="AG250" s="306">
        <f>+AD250-E250</f>
        <v>49</v>
      </c>
      <c r="AH250" s="307">
        <f>+AD250-V250</f>
        <v>48</v>
      </c>
      <c r="AI250" s="265"/>
      <c r="AJ250" s="265" t="s">
        <v>155</v>
      </c>
      <c r="AK250" s="265"/>
      <c r="AL250" s="265"/>
      <c r="AM250" s="265"/>
      <c r="AN250" s="309"/>
      <c r="AO250" s="269"/>
      <c r="AP250" s="265"/>
      <c r="AQ250" s="309"/>
      <c r="AR250" s="289"/>
      <c r="AS250" s="269"/>
      <c r="AT250" s="265"/>
      <c r="AU250" s="260"/>
      <c r="AV250" s="260"/>
      <c r="AW250" s="200"/>
      <c r="AX250" s="200"/>
      <c r="AY250" s="200"/>
      <c r="AZ250" s="139">
        <f t="shared" si="80"/>
        <v>1</v>
      </c>
      <c r="BA250" s="200"/>
      <c r="BB250" s="200"/>
      <c r="BC250" s="3"/>
      <c r="BD250" s="95"/>
      <c r="BE250" s="2"/>
    </row>
    <row r="251" spans="2:59" ht="43.9" customHeight="1" x14ac:dyDescent="0.25">
      <c r="B251" s="100">
        <f t="shared" si="77"/>
        <v>233</v>
      </c>
      <c r="C251" s="293" t="s">
        <v>1674</v>
      </c>
      <c r="D251" s="312" t="s">
        <v>32</v>
      </c>
      <c r="E251" s="272">
        <v>44672</v>
      </c>
      <c r="F251" s="268" t="s">
        <v>4434</v>
      </c>
      <c r="G251" s="269" t="s">
        <v>1675</v>
      </c>
      <c r="H251" s="265" t="s">
        <v>1676</v>
      </c>
      <c r="I251" s="265" t="s">
        <v>146</v>
      </c>
      <c r="J251" s="269" t="s">
        <v>1677</v>
      </c>
      <c r="K251" s="342">
        <v>886776000</v>
      </c>
      <c r="L251" s="282"/>
      <c r="M251" s="265" t="s">
        <v>1903</v>
      </c>
      <c r="N251" s="302" t="str">
        <f>MID(M251,5,3)</f>
        <v>IPU</v>
      </c>
      <c r="O251" s="265">
        <v>202202877</v>
      </c>
      <c r="P251" s="271"/>
      <c r="Q251" s="265" t="s">
        <v>146</v>
      </c>
      <c r="R251" s="265" t="s">
        <v>146</v>
      </c>
      <c r="S251" s="265" t="s">
        <v>1560</v>
      </c>
      <c r="T251" s="111" t="s">
        <v>40</v>
      </c>
      <c r="U251" s="269" t="s">
        <v>1904</v>
      </c>
      <c r="V251" s="285">
        <v>44694</v>
      </c>
      <c r="W251" s="303" t="e">
        <f>+$D$4-E251</f>
        <v>#VALUE!</v>
      </c>
      <c r="X251" s="303" t="e">
        <f>$D$4-V251</f>
        <v>#VALUE!</v>
      </c>
      <c r="Y251" s="265" t="s">
        <v>1300</v>
      </c>
      <c r="Z251" s="265" t="s">
        <v>152</v>
      </c>
      <c r="AA251" s="265" t="s">
        <v>153</v>
      </c>
      <c r="AB251" s="265"/>
      <c r="AC251" s="304" t="s">
        <v>2395</v>
      </c>
      <c r="AD251" s="285">
        <v>44775</v>
      </c>
      <c r="AE251" s="285"/>
      <c r="AF251" s="305" t="str">
        <f>+IF(AD251="","",TEXT(AD251,"mmm"))</f>
        <v>ago</v>
      </c>
      <c r="AG251" s="306">
        <f>+AD251-E251</f>
        <v>103</v>
      </c>
      <c r="AH251" s="307">
        <f>+AD251-V251</f>
        <v>81</v>
      </c>
      <c r="AI251" s="265" t="s">
        <v>258</v>
      </c>
      <c r="AJ251" s="265" t="s">
        <v>155</v>
      </c>
      <c r="AK251" s="265"/>
      <c r="AL251" s="265"/>
      <c r="AM251" s="265"/>
      <c r="AN251" s="309"/>
      <c r="AO251" s="269"/>
      <c r="AP251" s="265"/>
      <c r="AQ251" s="309"/>
      <c r="AR251" s="289"/>
      <c r="AS251" s="269"/>
      <c r="AT251" s="265"/>
      <c r="AU251" s="260"/>
      <c r="AV251" s="260"/>
      <c r="AW251" s="200"/>
      <c r="AX251" s="200"/>
      <c r="AY251" s="200"/>
      <c r="AZ251" s="139">
        <f t="shared" si="80"/>
        <v>1</v>
      </c>
      <c r="BA251" s="200"/>
      <c r="BB251" s="200"/>
      <c r="BC251" s="3"/>
      <c r="BD251" s="95"/>
      <c r="BE251" s="2"/>
    </row>
    <row r="252" spans="2:59" ht="43.9" customHeight="1" x14ac:dyDescent="0.25">
      <c r="B252" s="100">
        <f t="shared" si="77"/>
        <v>234</v>
      </c>
      <c r="C252" s="110" t="s">
        <v>1678</v>
      </c>
      <c r="D252" s="99" t="s">
        <v>359</v>
      </c>
      <c r="E252" s="142">
        <v>44672</v>
      </c>
      <c r="F252" s="268" t="s">
        <v>4434</v>
      </c>
      <c r="G252" s="96" t="s">
        <v>1679</v>
      </c>
      <c r="H252" s="96" t="s">
        <v>1680</v>
      </c>
      <c r="I252" s="96" t="s">
        <v>146</v>
      </c>
      <c r="J252" s="133" t="s">
        <v>1681</v>
      </c>
      <c r="K252" s="343">
        <v>1484851440</v>
      </c>
      <c r="L252" s="137">
        <v>44893</v>
      </c>
      <c r="M252" s="99" t="s">
        <v>3507</v>
      </c>
      <c r="N252" s="99"/>
      <c r="O252" s="99">
        <v>202202914</v>
      </c>
      <c r="P252" s="168">
        <v>1484851440</v>
      </c>
      <c r="Q252" s="96" t="s">
        <v>146</v>
      </c>
      <c r="R252" s="96" t="s">
        <v>146</v>
      </c>
      <c r="S252" s="99" t="s">
        <v>1560</v>
      </c>
      <c r="T252" s="111" t="s">
        <v>40</v>
      </c>
      <c r="U252" s="96" t="s">
        <v>312</v>
      </c>
      <c r="V252" s="119">
        <v>44673</v>
      </c>
      <c r="W252" s="170">
        <v>146</v>
      </c>
      <c r="X252" s="170">
        <v>145</v>
      </c>
      <c r="Y252" s="99" t="s">
        <v>1317</v>
      </c>
      <c r="Z252" s="96" t="s">
        <v>168</v>
      </c>
      <c r="AA252" s="96" t="s">
        <v>169</v>
      </c>
      <c r="AB252" s="96" t="s">
        <v>3018</v>
      </c>
      <c r="AC252" s="99"/>
      <c r="AD252" s="97">
        <v>44775</v>
      </c>
      <c r="AE252" s="183" t="s">
        <v>4438</v>
      </c>
      <c r="AF252" s="171"/>
      <c r="AG252" s="170">
        <v>103</v>
      </c>
      <c r="AH252" s="144">
        <v>102</v>
      </c>
      <c r="AI252" s="99" t="s">
        <v>146</v>
      </c>
      <c r="AJ252" s="96" t="s">
        <v>171</v>
      </c>
      <c r="AK252" s="99" t="s">
        <v>3019</v>
      </c>
      <c r="AL252" s="97">
        <v>44761</v>
      </c>
      <c r="AM252" s="211">
        <v>1477993090</v>
      </c>
      <c r="AN252" s="96" t="s">
        <v>1164</v>
      </c>
      <c r="AO252" s="99">
        <v>202207181</v>
      </c>
      <c r="AP252" s="181">
        <f t="shared" ref="AP252:AP253" si="96">+K252-AM252</f>
        <v>6858350</v>
      </c>
      <c r="AQ252" s="138"/>
      <c r="AR252" s="138"/>
      <c r="AS252" s="99"/>
      <c r="AT252" s="99"/>
      <c r="AU252" s="138"/>
      <c r="AV252" s="99" t="s">
        <v>174</v>
      </c>
      <c r="AW252" s="99" t="s">
        <v>175</v>
      </c>
      <c r="AX252" s="96" t="s">
        <v>359</v>
      </c>
      <c r="AY252" s="167">
        <f t="shared" ref="AY252:AY253" si="97">+AP252/K252</f>
        <v>4.6188795829972054E-3</v>
      </c>
      <c r="AZ252" s="139">
        <f t="shared" si="80"/>
        <v>0</v>
      </c>
      <c r="BA252" s="139">
        <f>IF(T252="Invitación Privada",1,IF(T252="Invitación Pública",2,0))</f>
        <v>2</v>
      </c>
      <c r="BB252" s="132">
        <f>IF(AA252="CONTRATADO",IF(BA252=1,NETWORKDAYS.INTL(E252,AD252,1,[1]FESTIVOS!$B$3:$B$10)-1,AD252-E252))-BD252</f>
        <v>103</v>
      </c>
      <c r="BC252" s="156"/>
      <c r="BD252" s="162"/>
      <c r="BE252" s="163"/>
      <c r="BF252" s="156"/>
    </row>
    <row r="253" spans="2:59" ht="43.9" customHeight="1" x14ac:dyDescent="0.25">
      <c r="B253" s="100">
        <f t="shared" si="77"/>
        <v>235</v>
      </c>
      <c r="C253" s="110" t="s">
        <v>1682</v>
      </c>
      <c r="D253" s="99" t="s">
        <v>332</v>
      </c>
      <c r="E253" s="142">
        <v>44672</v>
      </c>
      <c r="F253" s="268" t="s">
        <v>4434</v>
      </c>
      <c r="G253" s="96" t="s">
        <v>1683</v>
      </c>
      <c r="H253" s="96" t="s">
        <v>1684</v>
      </c>
      <c r="I253" s="96" t="s">
        <v>146</v>
      </c>
      <c r="J253" s="133" t="s">
        <v>1685</v>
      </c>
      <c r="K253" s="343">
        <v>1053153998</v>
      </c>
      <c r="L253" s="96" t="s">
        <v>3025</v>
      </c>
      <c r="M253" s="99" t="s">
        <v>1905</v>
      </c>
      <c r="N253" s="99"/>
      <c r="O253" s="99" t="s">
        <v>1686</v>
      </c>
      <c r="P253" s="169"/>
      <c r="Q253" s="96" t="s">
        <v>146</v>
      </c>
      <c r="R253" s="96" t="s">
        <v>146</v>
      </c>
      <c r="S253" s="99" t="s">
        <v>1560</v>
      </c>
      <c r="T253" s="111" t="s">
        <v>40</v>
      </c>
      <c r="U253" s="96" t="s">
        <v>337</v>
      </c>
      <c r="V253" s="119">
        <v>44673</v>
      </c>
      <c r="W253" s="170">
        <v>146</v>
      </c>
      <c r="X253" s="170">
        <v>145</v>
      </c>
      <c r="Y253" s="99" t="s">
        <v>1317</v>
      </c>
      <c r="Z253" s="96" t="s">
        <v>168</v>
      </c>
      <c r="AA253" s="96" t="s">
        <v>169</v>
      </c>
      <c r="AB253" s="96" t="s">
        <v>2449</v>
      </c>
      <c r="AC253" s="99"/>
      <c r="AD253" s="97">
        <v>44803</v>
      </c>
      <c r="AE253" s="183" t="s">
        <v>4438</v>
      </c>
      <c r="AF253" s="171"/>
      <c r="AG253" s="170">
        <v>131</v>
      </c>
      <c r="AH253" s="144">
        <v>130</v>
      </c>
      <c r="AI253" s="99" t="s">
        <v>146</v>
      </c>
      <c r="AJ253" s="96" t="s">
        <v>171</v>
      </c>
      <c r="AK253" s="99" t="s">
        <v>3408</v>
      </c>
      <c r="AL253" s="97">
        <v>44784</v>
      </c>
      <c r="AM253" s="211">
        <v>999600000</v>
      </c>
      <c r="AN253" s="96" t="s">
        <v>3016</v>
      </c>
      <c r="AO253" s="99">
        <v>202207814</v>
      </c>
      <c r="AP253" s="181">
        <f t="shared" si="96"/>
        <v>53553998</v>
      </c>
      <c r="AQ253" s="138"/>
      <c r="AR253" s="138"/>
      <c r="AS253" s="99"/>
      <c r="AT253" s="99"/>
      <c r="AU253" s="138"/>
      <c r="AV253" s="96" t="s">
        <v>3017</v>
      </c>
      <c r="AW253" s="99" t="s">
        <v>692</v>
      </c>
      <c r="AX253" s="96" t="s">
        <v>2397</v>
      </c>
      <c r="AY253" s="167">
        <f t="shared" si="97"/>
        <v>5.0851060815134463E-2</v>
      </c>
      <c r="AZ253" s="139">
        <f t="shared" si="80"/>
        <v>0</v>
      </c>
      <c r="BA253" s="139">
        <f>IF(T253="Invitación Privada",1,IF(T253="Invitación Pública",2,0))</f>
        <v>2</v>
      </c>
      <c r="BB253" s="132">
        <f>IF(AA253="CONTRATADO",IF(BA253=1,NETWORKDAYS.INTL(E253,AD253,1,[1]FESTIVOS!$B$3:$B$10)-1,AD253-E253))-BD253</f>
        <v>105</v>
      </c>
      <c r="BC253" s="156"/>
      <c r="BD253" s="162">
        <v>26</v>
      </c>
      <c r="BE253" s="163" t="s">
        <v>3515</v>
      </c>
      <c r="BF253" s="156"/>
    </row>
    <row r="254" spans="2:59" ht="43.9" customHeight="1" x14ac:dyDescent="0.25">
      <c r="B254" s="100">
        <f t="shared" si="77"/>
        <v>236</v>
      </c>
      <c r="C254" s="293" t="s">
        <v>1687</v>
      </c>
      <c r="D254" s="265" t="s">
        <v>332</v>
      </c>
      <c r="E254" s="272">
        <v>44672</v>
      </c>
      <c r="F254" s="268" t="s">
        <v>4434</v>
      </c>
      <c r="G254" s="269" t="s">
        <v>1688</v>
      </c>
      <c r="H254" s="265" t="s">
        <v>1873</v>
      </c>
      <c r="I254" s="328" t="s">
        <v>1874</v>
      </c>
      <c r="J254" s="269" t="s">
        <v>1689</v>
      </c>
      <c r="K254" s="342">
        <v>1728625910</v>
      </c>
      <c r="L254" s="282"/>
      <c r="M254" s="265" t="s">
        <v>146</v>
      </c>
      <c r="N254" s="302" t="str">
        <f>MID(M254,5,3)</f>
        <v/>
      </c>
      <c r="O254" s="265" t="s">
        <v>1694</v>
      </c>
      <c r="P254" s="271">
        <v>112460756</v>
      </c>
      <c r="Q254" s="265" t="s">
        <v>146</v>
      </c>
      <c r="R254" s="265" t="s">
        <v>146</v>
      </c>
      <c r="S254" s="265" t="s">
        <v>146</v>
      </c>
      <c r="T254" s="280" t="str">
        <f>(IF(N254="IPU","INVITACION PUBLICA",(IF(N254="IP-","INVITACION PRIVADA"," "))))</f>
        <v xml:space="preserve"> </v>
      </c>
      <c r="U254" s="269" t="s">
        <v>42</v>
      </c>
      <c r="V254" s="285">
        <v>44677</v>
      </c>
      <c r="W254" s="303" t="e">
        <f>+$D$4-E254</f>
        <v>#VALUE!</v>
      </c>
      <c r="X254" s="303" t="e">
        <f>$D$4-V254</f>
        <v>#VALUE!</v>
      </c>
      <c r="Y254" s="265" t="s">
        <v>1300</v>
      </c>
      <c r="Z254" s="265" t="s">
        <v>214</v>
      </c>
      <c r="AA254" s="265" t="s">
        <v>215</v>
      </c>
      <c r="AB254" s="265"/>
      <c r="AC254" s="304" t="s">
        <v>1875</v>
      </c>
      <c r="AD254" s="272">
        <v>44686</v>
      </c>
      <c r="AE254" s="272"/>
      <c r="AF254" s="305" t="str">
        <f>+IF(AD254="","",TEXT(AD254,"mmm"))</f>
        <v>may</v>
      </c>
      <c r="AG254" s="306">
        <f>+AD254-E254</f>
        <v>14</v>
      </c>
      <c r="AH254" s="307">
        <f>+AD254-V254</f>
        <v>9</v>
      </c>
      <c r="AI254" s="265" t="s">
        <v>146</v>
      </c>
      <c r="AJ254" s="265" t="s">
        <v>155</v>
      </c>
      <c r="AK254" s="265"/>
      <c r="AL254" s="265"/>
      <c r="AM254" s="309"/>
      <c r="AN254" s="269"/>
      <c r="AO254" s="265"/>
      <c r="AP254" s="309"/>
      <c r="AQ254" s="289"/>
      <c r="AR254" s="269"/>
      <c r="AS254" s="265"/>
      <c r="AT254" s="260"/>
      <c r="AU254" s="260"/>
      <c r="AV254" s="200"/>
      <c r="AW254" s="200"/>
      <c r="AX254" s="200"/>
      <c r="AY254" s="200"/>
      <c r="AZ254" s="139">
        <f t="shared" si="80"/>
        <v>0</v>
      </c>
      <c r="BA254" s="200"/>
      <c r="BB254" s="203"/>
      <c r="BC254" s="95"/>
      <c r="BD254" s="2"/>
      <c r="BE254" s="2"/>
      <c r="BF254" s="160"/>
    </row>
    <row r="255" spans="2:59" ht="43.9" customHeight="1" x14ac:dyDescent="0.25">
      <c r="B255" s="100">
        <f t="shared" si="77"/>
        <v>237</v>
      </c>
      <c r="C255" s="110" t="s">
        <v>1690</v>
      </c>
      <c r="D255" s="99" t="s">
        <v>332</v>
      </c>
      <c r="E255" s="140">
        <v>44672</v>
      </c>
      <c r="F255" s="268" t="s">
        <v>4434</v>
      </c>
      <c r="G255" s="96" t="s">
        <v>1691</v>
      </c>
      <c r="H255" s="96" t="s">
        <v>1692</v>
      </c>
      <c r="I255" s="96" t="s">
        <v>477</v>
      </c>
      <c r="J255" s="96" t="s">
        <v>1693</v>
      </c>
      <c r="K255" s="341">
        <v>112460756</v>
      </c>
      <c r="L255" s="96" t="s">
        <v>228</v>
      </c>
      <c r="M255" s="99" t="s">
        <v>146</v>
      </c>
      <c r="N255" s="99"/>
      <c r="O255" s="99" t="s">
        <v>1694</v>
      </c>
      <c r="P255" s="172">
        <v>112460756</v>
      </c>
      <c r="Q255" s="96" t="s">
        <v>146</v>
      </c>
      <c r="R255" s="96" t="s">
        <v>146</v>
      </c>
      <c r="S255" s="99" t="s">
        <v>146</v>
      </c>
      <c r="T255" s="96" t="s">
        <v>230</v>
      </c>
      <c r="U255" s="96" t="s">
        <v>42</v>
      </c>
      <c r="V255" s="97">
        <v>44673</v>
      </c>
      <c r="W255" s="166">
        <v>42</v>
      </c>
      <c r="X255" s="166">
        <v>41</v>
      </c>
      <c r="Y255" s="99" t="s">
        <v>1317</v>
      </c>
      <c r="Z255" s="96" t="s">
        <v>168</v>
      </c>
      <c r="AA255" s="96" t="s">
        <v>169</v>
      </c>
      <c r="AB255" s="96" t="s">
        <v>1862</v>
      </c>
      <c r="AC255" s="99"/>
      <c r="AD255" s="97">
        <v>44694</v>
      </c>
      <c r="AE255" s="362" t="s">
        <v>4435</v>
      </c>
      <c r="AF255" s="98"/>
      <c r="AG255" s="166">
        <v>22</v>
      </c>
      <c r="AH255" s="166">
        <v>21</v>
      </c>
      <c r="AI255" s="99" t="s">
        <v>146</v>
      </c>
      <c r="AJ255" s="96" t="s">
        <v>171</v>
      </c>
      <c r="AK255" s="96" t="s">
        <v>1863</v>
      </c>
      <c r="AL255" s="97">
        <v>44683</v>
      </c>
      <c r="AM255" s="211">
        <v>106837718</v>
      </c>
      <c r="AN255" s="96" t="s">
        <v>1864</v>
      </c>
      <c r="AO255" s="96"/>
      <c r="AP255" s="181">
        <f t="shared" ref="AP255" si="98">+K255-AM255</f>
        <v>5623038</v>
      </c>
      <c r="AQ255" s="138"/>
      <c r="AR255" s="138"/>
      <c r="AS255" s="99" t="s">
        <v>146</v>
      </c>
      <c r="AT255" s="99" t="s">
        <v>146</v>
      </c>
      <c r="AU255" s="138"/>
      <c r="AV255" s="99" t="s">
        <v>174</v>
      </c>
      <c r="AW255" s="99" t="s">
        <v>175</v>
      </c>
      <c r="AX255" s="99"/>
      <c r="AY255" s="167">
        <f>+AP255/K255</f>
        <v>5.0000001778398147E-2</v>
      </c>
      <c r="AZ255" s="139">
        <f t="shared" si="80"/>
        <v>0</v>
      </c>
      <c r="BA255" s="139">
        <f>IF(T255="Invitación Privada",1,IF(T255="Invitación Pública",2,0))</f>
        <v>0</v>
      </c>
      <c r="BB255" s="132">
        <f>IF(AA255="CONTRATADO",IF(BA255=1,NETWORKDAYS.INTL(E255,AD255,1,[1]FESTIVOS!$B$3:$B$10)-1,AD255-E255))-BD255</f>
        <v>22</v>
      </c>
      <c r="BC255" s="156"/>
      <c r="BD255" s="162">
        <v>0</v>
      </c>
      <c r="BE255" s="382" t="s">
        <v>2052</v>
      </c>
      <c r="BF255" s="160"/>
    </row>
    <row r="256" spans="2:59" ht="43.9" customHeight="1" x14ac:dyDescent="0.25">
      <c r="B256" s="100">
        <f t="shared" si="77"/>
        <v>238</v>
      </c>
      <c r="C256" s="293" t="s">
        <v>1695</v>
      </c>
      <c r="D256" s="265" t="s">
        <v>332</v>
      </c>
      <c r="E256" s="272">
        <v>44673</v>
      </c>
      <c r="F256" s="268" t="s">
        <v>4434</v>
      </c>
      <c r="G256" s="269" t="s">
        <v>1696</v>
      </c>
      <c r="H256" s="265" t="s">
        <v>1697</v>
      </c>
      <c r="I256" s="265" t="s">
        <v>146</v>
      </c>
      <c r="J256" s="269" t="s">
        <v>1698</v>
      </c>
      <c r="K256" s="342">
        <v>197470000</v>
      </c>
      <c r="L256" s="282"/>
      <c r="M256" s="265" t="s">
        <v>4318</v>
      </c>
      <c r="N256" s="302" t="str">
        <f t="shared" ref="N256:N265" si="99">MID(M256,5,3)</f>
        <v>IPU</v>
      </c>
      <c r="O256" s="265">
        <v>202202364</v>
      </c>
      <c r="P256" s="271"/>
      <c r="Q256" s="265" t="s">
        <v>146</v>
      </c>
      <c r="R256" s="265" t="s">
        <v>146</v>
      </c>
      <c r="S256" s="265" t="s">
        <v>1561</v>
      </c>
      <c r="T256" s="111" t="s">
        <v>40</v>
      </c>
      <c r="U256" s="269" t="s">
        <v>4012</v>
      </c>
      <c r="V256" s="285">
        <v>44673</v>
      </c>
      <c r="W256" s="303" t="e">
        <f t="shared" ref="W256:W265" si="100">+$D$4-E256</f>
        <v>#VALUE!</v>
      </c>
      <c r="X256" s="303" t="e">
        <f t="shared" ref="X256:X265" si="101">$D$4-V256</f>
        <v>#VALUE!</v>
      </c>
      <c r="Y256" s="265" t="s">
        <v>1300</v>
      </c>
      <c r="Z256" s="265" t="s">
        <v>152</v>
      </c>
      <c r="AA256" s="265" t="s">
        <v>153</v>
      </c>
      <c r="AB256" s="265"/>
      <c r="AC256" s="304" t="s">
        <v>2396</v>
      </c>
      <c r="AD256" s="285">
        <v>44760</v>
      </c>
      <c r="AE256" s="285"/>
      <c r="AF256" s="305" t="str">
        <f t="shared" ref="AF256:AF265" si="102">+IF(AD256="","",TEXT(AD256,"mmm"))</f>
        <v>jul</v>
      </c>
      <c r="AG256" s="306">
        <f t="shared" ref="AG256:AG281" si="103">+AD256-E256</f>
        <v>87</v>
      </c>
      <c r="AH256" s="307">
        <f t="shared" ref="AH256:AH281" si="104">+AD256-V256</f>
        <v>87</v>
      </c>
      <c r="AI256" s="265"/>
      <c r="AJ256" s="265" t="s">
        <v>171</v>
      </c>
      <c r="AK256" s="265"/>
      <c r="AL256" s="265"/>
      <c r="AM256" s="265"/>
      <c r="AN256" s="309"/>
      <c r="AO256" s="269"/>
      <c r="AP256" s="265"/>
      <c r="AQ256" s="309"/>
      <c r="AR256" s="289"/>
      <c r="AS256" s="269"/>
      <c r="AT256" s="265"/>
      <c r="AU256" s="260"/>
      <c r="AV256" s="260"/>
      <c r="AW256" s="200"/>
      <c r="AX256" s="200"/>
      <c r="AY256" s="200"/>
      <c r="AZ256" s="139">
        <f t="shared" si="80"/>
        <v>0</v>
      </c>
      <c r="BA256" s="200"/>
      <c r="BB256" s="200"/>
      <c r="BC256" s="3"/>
      <c r="BD256" s="95"/>
      <c r="BE256" s="2"/>
      <c r="BF256" s="160"/>
    </row>
    <row r="257" spans="2:58" ht="43.9" customHeight="1" x14ac:dyDescent="0.25">
      <c r="B257" s="100">
        <f t="shared" si="77"/>
        <v>239</v>
      </c>
      <c r="C257" s="293" t="s">
        <v>1699</v>
      </c>
      <c r="D257" s="265" t="s">
        <v>359</v>
      </c>
      <c r="E257" s="272">
        <v>44673</v>
      </c>
      <c r="F257" s="268" t="s">
        <v>4434</v>
      </c>
      <c r="G257" s="269" t="s">
        <v>1700</v>
      </c>
      <c r="H257" s="265" t="s">
        <v>1701</v>
      </c>
      <c r="I257" s="265" t="s">
        <v>146</v>
      </c>
      <c r="J257" s="269" t="s">
        <v>1702</v>
      </c>
      <c r="K257" s="342">
        <v>1240383280</v>
      </c>
      <c r="L257" s="282"/>
      <c r="M257" s="265"/>
      <c r="N257" s="302" t="str">
        <f t="shared" si="99"/>
        <v/>
      </c>
      <c r="O257" s="265" t="s">
        <v>1703</v>
      </c>
      <c r="P257" s="271"/>
      <c r="Q257" s="265" t="s">
        <v>146</v>
      </c>
      <c r="R257" s="265" t="s">
        <v>146</v>
      </c>
      <c r="S257" s="265" t="s">
        <v>1560</v>
      </c>
      <c r="T257" s="280" t="str">
        <f>(IF(N257="IPU","INVITACION PUBLICA",(IF(N257="IP-","INVITACION PRIVADA"," "))))</f>
        <v xml:space="preserve"> </v>
      </c>
      <c r="U257" s="269" t="s">
        <v>206</v>
      </c>
      <c r="V257" s="285">
        <v>44676</v>
      </c>
      <c r="W257" s="303" t="e">
        <f t="shared" si="100"/>
        <v>#VALUE!</v>
      </c>
      <c r="X257" s="303" t="e">
        <f t="shared" si="101"/>
        <v>#VALUE!</v>
      </c>
      <c r="Y257" s="265" t="s">
        <v>2067</v>
      </c>
      <c r="Z257" s="265" t="s">
        <v>152</v>
      </c>
      <c r="AA257" s="265" t="s">
        <v>153</v>
      </c>
      <c r="AB257" s="265"/>
      <c r="AC257" s="304" t="s">
        <v>2068</v>
      </c>
      <c r="AD257" s="272">
        <v>44721</v>
      </c>
      <c r="AE257" s="265"/>
      <c r="AF257" s="305" t="str">
        <f t="shared" si="102"/>
        <v>jun</v>
      </c>
      <c r="AG257" s="306">
        <f t="shared" si="103"/>
        <v>48</v>
      </c>
      <c r="AH257" s="307">
        <f t="shared" si="104"/>
        <v>45</v>
      </c>
      <c r="AI257" s="265"/>
      <c r="AJ257" s="265" t="s">
        <v>171</v>
      </c>
      <c r="AK257" s="265"/>
      <c r="AL257" s="265"/>
      <c r="AM257" s="265"/>
      <c r="AN257" s="309"/>
      <c r="AO257" s="269"/>
      <c r="AP257" s="265"/>
      <c r="AQ257" s="309"/>
      <c r="AR257" s="289"/>
      <c r="AS257" s="269"/>
      <c r="AT257" s="265"/>
      <c r="AU257" s="260"/>
      <c r="AV257" s="260"/>
      <c r="AW257" s="200"/>
      <c r="AX257" s="200"/>
      <c r="AY257" s="200"/>
      <c r="AZ257" s="139">
        <f t="shared" si="80"/>
        <v>0</v>
      </c>
      <c r="BA257" s="200"/>
      <c r="BB257" s="200"/>
      <c r="BC257" s="3"/>
      <c r="BD257" s="95"/>
      <c r="BE257" s="2"/>
      <c r="BF257" s="160"/>
    </row>
    <row r="258" spans="2:58" ht="43.9" customHeight="1" x14ac:dyDescent="0.25">
      <c r="B258" s="100">
        <f t="shared" si="77"/>
        <v>240</v>
      </c>
      <c r="C258" s="293" t="s">
        <v>1704</v>
      </c>
      <c r="D258" s="265" t="s">
        <v>359</v>
      </c>
      <c r="E258" s="272">
        <v>44673</v>
      </c>
      <c r="F258" s="268" t="s">
        <v>4434</v>
      </c>
      <c r="G258" s="269" t="s">
        <v>1705</v>
      </c>
      <c r="H258" s="265" t="s">
        <v>1706</v>
      </c>
      <c r="I258" s="265" t="s">
        <v>146</v>
      </c>
      <c r="J258" s="269" t="s">
        <v>1707</v>
      </c>
      <c r="K258" s="342">
        <v>36930000</v>
      </c>
      <c r="L258" s="282"/>
      <c r="M258" s="265" t="s">
        <v>1906</v>
      </c>
      <c r="N258" s="302" t="str">
        <f t="shared" si="99"/>
        <v>IPU</v>
      </c>
      <c r="O258" s="265">
        <v>202202335</v>
      </c>
      <c r="P258" s="271"/>
      <c r="Q258" s="265" t="s">
        <v>146</v>
      </c>
      <c r="R258" s="265" t="s">
        <v>146</v>
      </c>
      <c r="S258" s="265" t="s">
        <v>1561</v>
      </c>
      <c r="T258" s="111" t="s">
        <v>40</v>
      </c>
      <c r="U258" s="269" t="s">
        <v>312</v>
      </c>
      <c r="V258" s="285">
        <v>44676</v>
      </c>
      <c r="W258" s="303" t="e">
        <f t="shared" si="100"/>
        <v>#VALUE!</v>
      </c>
      <c r="X258" s="303" t="e">
        <f t="shared" si="101"/>
        <v>#VALUE!</v>
      </c>
      <c r="Y258" s="265" t="s">
        <v>1300</v>
      </c>
      <c r="Z258" s="265" t="s">
        <v>152</v>
      </c>
      <c r="AA258" s="265" t="s">
        <v>153</v>
      </c>
      <c r="AB258" s="265"/>
      <c r="AC258" s="304" t="s">
        <v>2398</v>
      </c>
      <c r="AD258" s="272">
        <v>44720</v>
      </c>
      <c r="AE258" s="265"/>
      <c r="AF258" s="305" t="str">
        <f t="shared" si="102"/>
        <v>jun</v>
      </c>
      <c r="AG258" s="306">
        <f t="shared" si="103"/>
        <v>47</v>
      </c>
      <c r="AH258" s="307">
        <f t="shared" si="104"/>
        <v>44</v>
      </c>
      <c r="AI258" s="265"/>
      <c r="AJ258" s="265" t="s">
        <v>171</v>
      </c>
      <c r="AK258" s="265"/>
      <c r="AL258" s="265"/>
      <c r="AM258" s="265"/>
      <c r="AN258" s="309"/>
      <c r="AO258" s="269"/>
      <c r="AP258" s="265"/>
      <c r="AQ258" s="309"/>
      <c r="AR258" s="289"/>
      <c r="AS258" s="269"/>
      <c r="AT258" s="265"/>
      <c r="AU258" s="260"/>
      <c r="AV258" s="260"/>
      <c r="AW258" s="200"/>
      <c r="AX258" s="200"/>
      <c r="AY258" s="200"/>
      <c r="AZ258" s="139">
        <f t="shared" si="80"/>
        <v>0</v>
      </c>
      <c r="BA258" s="200"/>
      <c r="BB258" s="200"/>
      <c r="BC258" s="3"/>
      <c r="BD258" s="95"/>
      <c r="BE258" s="2"/>
      <c r="BF258" s="160"/>
    </row>
    <row r="259" spans="2:58" ht="43.9" customHeight="1" x14ac:dyDescent="0.25">
      <c r="B259" s="100">
        <f t="shared" si="77"/>
        <v>241</v>
      </c>
      <c r="C259" s="293" t="s">
        <v>1708</v>
      </c>
      <c r="D259" s="265" t="s">
        <v>359</v>
      </c>
      <c r="E259" s="272">
        <v>44673</v>
      </c>
      <c r="F259" s="268" t="s">
        <v>4434</v>
      </c>
      <c r="G259" s="269" t="s">
        <v>1709</v>
      </c>
      <c r="H259" s="265" t="s">
        <v>1710</v>
      </c>
      <c r="I259" s="265" t="s">
        <v>146</v>
      </c>
      <c r="J259" s="269" t="s">
        <v>1711</v>
      </c>
      <c r="K259" s="342">
        <v>41142193</v>
      </c>
      <c r="L259" s="282"/>
      <c r="M259" s="265" t="s">
        <v>1907</v>
      </c>
      <c r="N259" s="302" t="str">
        <f t="shared" si="99"/>
        <v>IPU</v>
      </c>
      <c r="O259" s="265" t="s">
        <v>1712</v>
      </c>
      <c r="P259" s="271"/>
      <c r="Q259" s="265" t="s">
        <v>146</v>
      </c>
      <c r="R259" s="265" t="s">
        <v>146</v>
      </c>
      <c r="S259" s="265" t="s">
        <v>1561</v>
      </c>
      <c r="T259" s="111" t="s">
        <v>40</v>
      </c>
      <c r="U259" s="269" t="s">
        <v>312</v>
      </c>
      <c r="V259" s="285">
        <v>44676</v>
      </c>
      <c r="W259" s="303" t="e">
        <f t="shared" si="100"/>
        <v>#VALUE!</v>
      </c>
      <c r="X259" s="303" t="e">
        <f t="shared" si="101"/>
        <v>#VALUE!</v>
      </c>
      <c r="Y259" s="265" t="s">
        <v>1300</v>
      </c>
      <c r="Z259" s="265" t="s">
        <v>152</v>
      </c>
      <c r="AA259" s="265" t="s">
        <v>153</v>
      </c>
      <c r="AB259" s="265"/>
      <c r="AC259" s="304" t="s">
        <v>2399</v>
      </c>
      <c r="AD259" s="272">
        <v>44714</v>
      </c>
      <c r="AE259" s="265"/>
      <c r="AF259" s="305" t="str">
        <f t="shared" si="102"/>
        <v>jun</v>
      </c>
      <c r="AG259" s="306">
        <f t="shared" si="103"/>
        <v>41</v>
      </c>
      <c r="AH259" s="307">
        <f t="shared" si="104"/>
        <v>38</v>
      </c>
      <c r="AI259" s="265"/>
      <c r="AJ259" s="265" t="s">
        <v>171</v>
      </c>
      <c r="AK259" s="265"/>
      <c r="AL259" s="265"/>
      <c r="AM259" s="265"/>
      <c r="AN259" s="309"/>
      <c r="AO259" s="269"/>
      <c r="AP259" s="265"/>
      <c r="AQ259" s="309"/>
      <c r="AR259" s="289"/>
      <c r="AS259" s="269"/>
      <c r="AT259" s="265"/>
      <c r="AU259" s="260"/>
      <c r="AV259" s="260"/>
      <c r="AW259" s="200"/>
      <c r="AX259" s="200"/>
      <c r="AY259" s="200"/>
      <c r="AZ259" s="139">
        <f t="shared" si="80"/>
        <v>0</v>
      </c>
      <c r="BA259" s="200"/>
      <c r="BB259" s="200"/>
      <c r="BC259" s="3"/>
      <c r="BD259" s="95"/>
      <c r="BE259" s="2"/>
      <c r="BF259" s="160"/>
    </row>
    <row r="260" spans="2:58" ht="43.9" customHeight="1" x14ac:dyDescent="0.25">
      <c r="B260" s="100">
        <f t="shared" si="77"/>
        <v>242</v>
      </c>
      <c r="C260" s="293" t="s">
        <v>1713</v>
      </c>
      <c r="D260" s="312" t="s">
        <v>32</v>
      </c>
      <c r="E260" s="272">
        <v>44659</v>
      </c>
      <c r="F260" s="268" t="s">
        <v>4434</v>
      </c>
      <c r="G260" s="269" t="s">
        <v>1411</v>
      </c>
      <c r="H260" s="265" t="s">
        <v>588</v>
      </c>
      <c r="I260" s="265" t="s">
        <v>146</v>
      </c>
      <c r="J260" s="269" t="s">
        <v>589</v>
      </c>
      <c r="K260" s="342">
        <v>40712800</v>
      </c>
      <c r="L260" s="282"/>
      <c r="M260" s="265" t="s">
        <v>1714</v>
      </c>
      <c r="N260" s="302" t="str">
        <f t="shared" si="99"/>
        <v>IPU</v>
      </c>
      <c r="O260" s="265">
        <v>202201683</v>
      </c>
      <c r="P260" s="271"/>
      <c r="Q260" s="265" t="s">
        <v>146</v>
      </c>
      <c r="R260" s="265" t="s">
        <v>146</v>
      </c>
      <c r="S260" s="265" t="s">
        <v>1561</v>
      </c>
      <c r="T260" s="111" t="s">
        <v>40</v>
      </c>
      <c r="U260" s="269" t="s">
        <v>1357</v>
      </c>
      <c r="V260" s="285">
        <v>44659</v>
      </c>
      <c r="W260" s="303" t="e">
        <f t="shared" si="100"/>
        <v>#VALUE!</v>
      </c>
      <c r="X260" s="303" t="e">
        <f t="shared" si="101"/>
        <v>#VALUE!</v>
      </c>
      <c r="Y260" s="265" t="s">
        <v>1300</v>
      </c>
      <c r="Z260" s="265" t="s">
        <v>152</v>
      </c>
      <c r="AA260" s="265" t="s">
        <v>153</v>
      </c>
      <c r="AB260" s="265"/>
      <c r="AC260" s="304" t="s">
        <v>1870</v>
      </c>
      <c r="AD260" s="272">
        <v>44698</v>
      </c>
      <c r="AE260" s="265"/>
      <c r="AF260" s="305" t="str">
        <f t="shared" si="102"/>
        <v>may</v>
      </c>
      <c r="AG260" s="306">
        <f t="shared" si="103"/>
        <v>39</v>
      </c>
      <c r="AH260" s="307">
        <f t="shared" si="104"/>
        <v>39</v>
      </c>
      <c r="AI260" s="265" t="s">
        <v>258</v>
      </c>
      <c r="AJ260" s="265" t="s">
        <v>171</v>
      </c>
      <c r="AK260" s="265"/>
      <c r="AL260" s="265"/>
      <c r="AM260" s="265"/>
      <c r="AN260" s="309"/>
      <c r="AO260" s="269"/>
      <c r="AP260" s="265"/>
      <c r="AQ260" s="309">
        <f>+K260-AN260</f>
        <v>40712800</v>
      </c>
      <c r="AR260" s="289"/>
      <c r="AS260" s="269"/>
      <c r="AT260" s="265"/>
      <c r="AU260" s="260"/>
      <c r="AV260" s="260"/>
      <c r="AW260" s="200"/>
      <c r="AX260" s="200"/>
      <c r="AY260" s="200"/>
      <c r="AZ260" s="139">
        <f t="shared" si="80"/>
        <v>1</v>
      </c>
      <c r="BA260" s="200"/>
      <c r="BB260" s="200"/>
      <c r="BC260" s="3"/>
      <c r="BD260" s="95"/>
      <c r="BE260" s="2"/>
      <c r="BF260" s="160"/>
    </row>
    <row r="261" spans="2:58" ht="43.9" customHeight="1" x14ac:dyDescent="0.25">
      <c r="B261" s="100">
        <f t="shared" si="77"/>
        <v>243</v>
      </c>
      <c r="C261" s="293" t="s">
        <v>1715</v>
      </c>
      <c r="D261" s="265" t="s">
        <v>28</v>
      </c>
      <c r="E261" s="272">
        <v>44676</v>
      </c>
      <c r="F261" s="268" t="s">
        <v>4434</v>
      </c>
      <c r="G261" s="269" t="s">
        <v>146</v>
      </c>
      <c r="H261" s="265" t="s">
        <v>1716</v>
      </c>
      <c r="I261" s="265" t="s">
        <v>146</v>
      </c>
      <c r="J261" s="269" t="s">
        <v>1717</v>
      </c>
      <c r="K261" s="342" t="s">
        <v>146</v>
      </c>
      <c r="L261" s="282"/>
      <c r="M261" s="295" t="s">
        <v>1908</v>
      </c>
      <c r="N261" s="302" t="str">
        <f t="shared" si="99"/>
        <v>IPU</v>
      </c>
      <c r="O261" s="265" t="s">
        <v>146</v>
      </c>
      <c r="P261" s="271"/>
      <c r="Q261" s="265" t="s">
        <v>146</v>
      </c>
      <c r="R261" s="265" t="s">
        <v>146</v>
      </c>
      <c r="S261" s="265" t="s">
        <v>1561</v>
      </c>
      <c r="T261" s="111" t="s">
        <v>40</v>
      </c>
      <c r="U261" s="269" t="s">
        <v>187</v>
      </c>
      <c r="V261" s="285">
        <v>44677</v>
      </c>
      <c r="W261" s="303" t="e">
        <f t="shared" si="100"/>
        <v>#VALUE!</v>
      </c>
      <c r="X261" s="303" t="e">
        <f t="shared" si="101"/>
        <v>#VALUE!</v>
      </c>
      <c r="Y261" s="265"/>
      <c r="Z261" s="265" t="s">
        <v>214</v>
      </c>
      <c r="AA261" s="265" t="s">
        <v>215</v>
      </c>
      <c r="AB261" s="272">
        <v>44897</v>
      </c>
      <c r="AC261" s="304" t="s">
        <v>4362</v>
      </c>
      <c r="AD261" s="272">
        <v>44897</v>
      </c>
      <c r="AE261" s="265"/>
      <c r="AF261" s="305" t="str">
        <f t="shared" si="102"/>
        <v>dic</v>
      </c>
      <c r="AG261" s="306">
        <f t="shared" si="103"/>
        <v>221</v>
      </c>
      <c r="AH261" s="307">
        <f t="shared" si="104"/>
        <v>220</v>
      </c>
      <c r="AI261" s="265"/>
      <c r="AJ261" s="265" t="s">
        <v>155</v>
      </c>
      <c r="AK261" s="265"/>
      <c r="AL261" s="265"/>
      <c r="AM261" s="309"/>
      <c r="AN261" s="269"/>
      <c r="AO261" s="265"/>
      <c r="AP261" s="309"/>
      <c r="AQ261" s="289"/>
      <c r="AR261" s="269"/>
      <c r="AS261" s="265"/>
      <c r="AT261" s="260"/>
      <c r="AU261" s="260"/>
      <c r="AV261" s="200"/>
      <c r="AW261" s="200"/>
      <c r="AX261" s="200"/>
      <c r="AY261" s="200"/>
      <c r="AZ261" s="139">
        <f t="shared" si="80"/>
        <v>1</v>
      </c>
      <c r="BA261" s="200"/>
      <c r="BB261" s="203"/>
      <c r="BC261" s="95"/>
      <c r="BD261" s="200"/>
      <c r="BE261" s="200"/>
      <c r="BF261" s="160"/>
    </row>
    <row r="262" spans="2:58" ht="43.9" customHeight="1" x14ac:dyDescent="0.25">
      <c r="B262" s="100">
        <f t="shared" si="77"/>
        <v>244</v>
      </c>
      <c r="C262" s="293" t="s">
        <v>1718</v>
      </c>
      <c r="D262" s="265" t="s">
        <v>28</v>
      </c>
      <c r="E262" s="272">
        <v>44676</v>
      </c>
      <c r="F262" s="268" t="s">
        <v>4434</v>
      </c>
      <c r="G262" s="269" t="s">
        <v>146</v>
      </c>
      <c r="H262" s="265" t="s">
        <v>1719</v>
      </c>
      <c r="I262" s="265" t="s">
        <v>146</v>
      </c>
      <c r="J262" s="269" t="s">
        <v>1720</v>
      </c>
      <c r="K262" s="342" t="s">
        <v>146</v>
      </c>
      <c r="L262" s="282"/>
      <c r="M262" s="295" t="s">
        <v>1909</v>
      </c>
      <c r="N262" s="302" t="str">
        <f t="shared" si="99"/>
        <v>IPU</v>
      </c>
      <c r="O262" s="265" t="s">
        <v>146</v>
      </c>
      <c r="P262" s="271"/>
      <c r="Q262" s="265" t="s">
        <v>146</v>
      </c>
      <c r="R262" s="265" t="s">
        <v>146</v>
      </c>
      <c r="S262" s="265" t="s">
        <v>1561</v>
      </c>
      <c r="T262" s="111" t="s">
        <v>40</v>
      </c>
      <c r="U262" s="269" t="s">
        <v>161</v>
      </c>
      <c r="V262" s="285">
        <v>44680</v>
      </c>
      <c r="W262" s="303" t="e">
        <f t="shared" si="100"/>
        <v>#VALUE!</v>
      </c>
      <c r="X262" s="303" t="e">
        <f t="shared" si="101"/>
        <v>#VALUE!</v>
      </c>
      <c r="Y262" s="265" t="s">
        <v>1300</v>
      </c>
      <c r="Z262" s="265" t="s">
        <v>152</v>
      </c>
      <c r="AA262" s="265" t="s">
        <v>153</v>
      </c>
      <c r="AB262" s="265"/>
      <c r="AC262" s="304" t="s">
        <v>3544</v>
      </c>
      <c r="AD262" s="272">
        <v>44853</v>
      </c>
      <c r="AE262" s="272"/>
      <c r="AF262" s="305" t="str">
        <f t="shared" si="102"/>
        <v>oct</v>
      </c>
      <c r="AG262" s="306">
        <f t="shared" si="103"/>
        <v>177</v>
      </c>
      <c r="AH262" s="307">
        <f t="shared" si="104"/>
        <v>173</v>
      </c>
      <c r="AI262" s="265"/>
      <c r="AJ262" s="265" t="s">
        <v>155</v>
      </c>
      <c r="AK262" s="265"/>
      <c r="AL262" s="265"/>
      <c r="AM262" s="265"/>
      <c r="AN262" s="309"/>
      <c r="AO262" s="269"/>
      <c r="AP262" s="265"/>
      <c r="AQ262" s="309"/>
      <c r="AR262" s="289"/>
      <c r="AS262" s="269"/>
      <c r="AT262" s="265"/>
      <c r="AU262" s="260"/>
      <c r="AV262" s="260"/>
      <c r="AW262" s="200"/>
      <c r="AX262" s="200"/>
      <c r="AY262" s="200"/>
      <c r="AZ262" s="139">
        <f t="shared" si="80"/>
        <v>1</v>
      </c>
      <c r="BA262" s="200"/>
      <c r="BB262" s="200"/>
      <c r="BC262" s="3"/>
      <c r="BD262" s="217"/>
      <c r="BE262" s="200"/>
      <c r="BF262" s="160"/>
    </row>
    <row r="263" spans="2:58" ht="43.9" customHeight="1" x14ac:dyDescent="0.25">
      <c r="B263" s="100">
        <f t="shared" si="77"/>
        <v>245</v>
      </c>
      <c r="C263" s="293" t="s">
        <v>1721</v>
      </c>
      <c r="D263" s="265" t="s">
        <v>28</v>
      </c>
      <c r="E263" s="272">
        <v>44676</v>
      </c>
      <c r="F263" s="268" t="s">
        <v>4434</v>
      </c>
      <c r="G263" s="269" t="s">
        <v>1722</v>
      </c>
      <c r="H263" s="265" t="s">
        <v>1723</v>
      </c>
      <c r="I263" s="265" t="s">
        <v>146</v>
      </c>
      <c r="J263" s="269" t="s">
        <v>1724</v>
      </c>
      <c r="K263" s="342">
        <v>62299950</v>
      </c>
      <c r="L263" s="282"/>
      <c r="M263" s="265" t="s">
        <v>1910</v>
      </c>
      <c r="N263" s="302" t="str">
        <f t="shared" si="99"/>
        <v>IPU</v>
      </c>
      <c r="O263" s="265" t="s">
        <v>1725</v>
      </c>
      <c r="P263" s="271"/>
      <c r="Q263" s="265" t="s">
        <v>146</v>
      </c>
      <c r="R263" s="265" t="s">
        <v>146</v>
      </c>
      <c r="S263" s="265" t="s">
        <v>1561</v>
      </c>
      <c r="T263" s="111" t="s">
        <v>40</v>
      </c>
      <c r="U263" s="269" t="s">
        <v>277</v>
      </c>
      <c r="V263" s="285">
        <v>44677</v>
      </c>
      <c r="W263" s="303" t="e">
        <f t="shared" si="100"/>
        <v>#VALUE!</v>
      </c>
      <c r="X263" s="303" t="e">
        <f t="shared" si="101"/>
        <v>#VALUE!</v>
      </c>
      <c r="Y263" s="265" t="s">
        <v>1300</v>
      </c>
      <c r="Z263" s="265" t="s">
        <v>152</v>
      </c>
      <c r="AA263" s="265" t="s">
        <v>153</v>
      </c>
      <c r="AB263" s="265"/>
      <c r="AC263" s="304" t="s">
        <v>2069</v>
      </c>
      <c r="AD263" s="272">
        <v>44719</v>
      </c>
      <c r="AE263" s="265"/>
      <c r="AF263" s="305" t="str">
        <f t="shared" si="102"/>
        <v>jun</v>
      </c>
      <c r="AG263" s="306">
        <f t="shared" si="103"/>
        <v>43</v>
      </c>
      <c r="AH263" s="307">
        <f t="shared" si="104"/>
        <v>42</v>
      </c>
      <c r="AI263" s="265"/>
      <c r="AJ263" s="265" t="s">
        <v>155</v>
      </c>
      <c r="AK263" s="265"/>
      <c r="AL263" s="265"/>
      <c r="AM263" s="265"/>
      <c r="AN263" s="309"/>
      <c r="AO263" s="269"/>
      <c r="AP263" s="265"/>
      <c r="AQ263" s="309"/>
      <c r="AR263" s="289"/>
      <c r="AS263" s="269"/>
      <c r="AT263" s="265"/>
      <c r="AU263" s="260"/>
      <c r="AV263" s="260"/>
      <c r="AW263" s="200"/>
      <c r="AX263" s="200"/>
      <c r="AY263" s="200"/>
      <c r="AZ263" s="139">
        <f t="shared" si="80"/>
        <v>1</v>
      </c>
      <c r="BA263" s="200"/>
      <c r="BB263" s="200"/>
      <c r="BC263" s="3"/>
      <c r="BD263" s="95"/>
      <c r="BE263" s="2"/>
      <c r="BF263" s="160"/>
    </row>
    <row r="264" spans="2:58" ht="43.9" customHeight="1" x14ac:dyDescent="0.25">
      <c r="B264" s="100">
        <f t="shared" si="77"/>
        <v>246</v>
      </c>
      <c r="C264" s="293" t="s">
        <v>1726</v>
      </c>
      <c r="D264" s="265" t="s">
        <v>359</v>
      </c>
      <c r="E264" s="272">
        <v>44677</v>
      </c>
      <c r="F264" s="268" t="s">
        <v>4434</v>
      </c>
      <c r="G264" s="269" t="s">
        <v>1727</v>
      </c>
      <c r="H264" s="265" t="s">
        <v>1728</v>
      </c>
      <c r="I264" s="265" t="s">
        <v>146</v>
      </c>
      <c r="J264" s="269" t="s">
        <v>1729</v>
      </c>
      <c r="K264" s="342">
        <v>97036465</v>
      </c>
      <c r="L264" s="282"/>
      <c r="M264" s="265" t="s">
        <v>2450</v>
      </c>
      <c r="N264" s="302" t="str">
        <f t="shared" si="99"/>
        <v>IPU</v>
      </c>
      <c r="O264" s="265">
        <v>202202916</v>
      </c>
      <c r="P264" s="271"/>
      <c r="Q264" s="265" t="s">
        <v>146</v>
      </c>
      <c r="R264" s="265" t="s">
        <v>146</v>
      </c>
      <c r="S264" s="265" t="s">
        <v>1561</v>
      </c>
      <c r="T264" s="111" t="s">
        <v>40</v>
      </c>
      <c r="U264" s="269" t="s">
        <v>312</v>
      </c>
      <c r="V264" s="285">
        <v>44677</v>
      </c>
      <c r="W264" s="303" t="e">
        <f t="shared" si="100"/>
        <v>#VALUE!</v>
      </c>
      <c r="X264" s="303" t="e">
        <f t="shared" si="101"/>
        <v>#VALUE!</v>
      </c>
      <c r="Y264" s="265"/>
      <c r="Z264" s="265" t="s">
        <v>152</v>
      </c>
      <c r="AA264" s="265" t="s">
        <v>153</v>
      </c>
      <c r="AB264" s="272">
        <v>44904</v>
      </c>
      <c r="AC264" s="304" t="s">
        <v>4068</v>
      </c>
      <c r="AD264" s="272">
        <v>44889</v>
      </c>
      <c r="AE264" s="265"/>
      <c r="AF264" s="305" t="str">
        <f t="shared" si="102"/>
        <v>nov</v>
      </c>
      <c r="AG264" s="306">
        <f t="shared" si="103"/>
        <v>212</v>
      </c>
      <c r="AH264" s="307">
        <f t="shared" si="104"/>
        <v>212</v>
      </c>
      <c r="AI264" s="265"/>
      <c r="AJ264" s="265" t="s">
        <v>171</v>
      </c>
      <c r="AK264" s="265"/>
      <c r="AL264" s="265"/>
      <c r="AM264" s="265"/>
      <c r="AN264" s="309"/>
      <c r="AO264" s="269"/>
      <c r="AP264" s="265"/>
      <c r="AQ264" s="309"/>
      <c r="AR264" s="289"/>
      <c r="AS264" s="269"/>
      <c r="AT264" s="265"/>
      <c r="AU264" s="260"/>
      <c r="AV264" s="260"/>
      <c r="AW264" s="200"/>
      <c r="AX264" s="200"/>
      <c r="AY264" s="200"/>
      <c r="AZ264" s="139">
        <f t="shared" si="80"/>
        <v>0</v>
      </c>
      <c r="BA264" s="200"/>
      <c r="BB264" s="200"/>
      <c r="BC264" s="3"/>
      <c r="BD264" s="217"/>
      <c r="BE264" s="200"/>
      <c r="BF264" s="160"/>
    </row>
    <row r="265" spans="2:58" ht="43.9" customHeight="1" x14ac:dyDescent="0.25">
      <c r="B265" s="100">
        <f t="shared" si="77"/>
        <v>247</v>
      </c>
      <c r="C265" s="293" t="s">
        <v>1730</v>
      </c>
      <c r="D265" s="265" t="s">
        <v>28</v>
      </c>
      <c r="E265" s="272">
        <v>44676</v>
      </c>
      <c r="F265" s="268" t="s">
        <v>4434</v>
      </c>
      <c r="G265" s="269" t="s">
        <v>1731</v>
      </c>
      <c r="H265" s="265" t="s">
        <v>931</v>
      </c>
      <c r="I265" s="265" t="s">
        <v>146</v>
      </c>
      <c r="J265" s="269" t="s">
        <v>1260</v>
      </c>
      <c r="K265" s="342">
        <v>119987700</v>
      </c>
      <c r="L265" s="282"/>
      <c r="M265" s="265" t="s">
        <v>1871</v>
      </c>
      <c r="N265" s="302" t="str">
        <f t="shared" si="99"/>
        <v>IPU</v>
      </c>
      <c r="O265" s="265">
        <v>202201992</v>
      </c>
      <c r="P265" s="271"/>
      <c r="Q265" s="265" t="s">
        <v>146</v>
      </c>
      <c r="R265" s="265" t="s">
        <v>146</v>
      </c>
      <c r="S265" s="265" t="s">
        <v>1561</v>
      </c>
      <c r="T265" s="111" t="s">
        <v>40</v>
      </c>
      <c r="U265" s="269" t="s">
        <v>452</v>
      </c>
      <c r="V265" s="285">
        <v>44676</v>
      </c>
      <c r="W265" s="303" t="e">
        <f t="shared" si="100"/>
        <v>#VALUE!</v>
      </c>
      <c r="X265" s="303" t="e">
        <f t="shared" si="101"/>
        <v>#VALUE!</v>
      </c>
      <c r="Y265" s="265" t="s">
        <v>1300</v>
      </c>
      <c r="Z265" s="265" t="s">
        <v>214</v>
      </c>
      <c r="AA265" s="265" t="s">
        <v>215</v>
      </c>
      <c r="AB265" s="265"/>
      <c r="AC265" s="304" t="s">
        <v>1872</v>
      </c>
      <c r="AD265" s="272">
        <v>44698</v>
      </c>
      <c r="AE265" s="272"/>
      <c r="AF265" s="305" t="str">
        <f t="shared" si="102"/>
        <v>may</v>
      </c>
      <c r="AG265" s="306">
        <f t="shared" si="103"/>
        <v>22</v>
      </c>
      <c r="AH265" s="307">
        <f t="shared" si="104"/>
        <v>22</v>
      </c>
      <c r="AI265" s="265" t="s">
        <v>258</v>
      </c>
      <c r="AJ265" s="265" t="s">
        <v>171</v>
      </c>
      <c r="AK265" s="265"/>
      <c r="AL265" s="265"/>
      <c r="AM265" s="309"/>
      <c r="AN265" s="269"/>
      <c r="AO265" s="265"/>
      <c r="AP265" s="309"/>
      <c r="AQ265" s="289"/>
      <c r="AR265" s="269"/>
      <c r="AS265" s="265"/>
      <c r="AT265" s="260"/>
      <c r="AU265" s="260"/>
      <c r="AV265" s="200"/>
      <c r="AW265" s="200"/>
      <c r="AX265" s="200"/>
      <c r="AY265" s="200"/>
      <c r="AZ265" s="139">
        <f t="shared" si="80"/>
        <v>1</v>
      </c>
      <c r="BA265" s="200"/>
      <c r="BB265" s="203"/>
      <c r="BC265" s="95"/>
      <c r="BD265" s="2"/>
      <c r="BE265" s="2"/>
    </row>
    <row r="266" spans="2:58" ht="43.9" customHeight="1" x14ac:dyDescent="0.25">
      <c r="B266" s="100">
        <f t="shared" si="77"/>
        <v>248</v>
      </c>
      <c r="C266" s="110" t="s">
        <v>1732</v>
      </c>
      <c r="D266" s="99" t="s">
        <v>28</v>
      </c>
      <c r="E266" s="142">
        <v>44678</v>
      </c>
      <c r="F266" s="268" t="s">
        <v>4434</v>
      </c>
      <c r="G266" s="96" t="s">
        <v>1733</v>
      </c>
      <c r="H266" s="96" t="s">
        <v>1734</v>
      </c>
      <c r="I266" s="96" t="s">
        <v>1224</v>
      </c>
      <c r="J266" s="133" t="s">
        <v>1735</v>
      </c>
      <c r="K266" s="348">
        <v>54848358</v>
      </c>
      <c r="L266" s="138"/>
      <c r="M266" s="99" t="s">
        <v>146</v>
      </c>
      <c r="N266" s="99"/>
      <c r="O266" s="99" t="s">
        <v>1736</v>
      </c>
      <c r="P266" s="169"/>
      <c r="Q266" s="96" t="s">
        <v>146</v>
      </c>
      <c r="R266" s="96" t="s">
        <v>146</v>
      </c>
      <c r="S266" s="99" t="s">
        <v>146</v>
      </c>
      <c r="T266" s="96" t="s">
        <v>230</v>
      </c>
      <c r="U266" s="96" t="s">
        <v>29</v>
      </c>
      <c r="V266" s="119">
        <v>44678</v>
      </c>
      <c r="W266" s="170">
        <f>+$D$2-E266</f>
        <v>-44678</v>
      </c>
      <c r="X266" s="170">
        <f>$D$2-V266</f>
        <v>-44678</v>
      </c>
      <c r="Y266" s="99" t="s">
        <v>1317</v>
      </c>
      <c r="Z266" s="96" t="s">
        <v>168</v>
      </c>
      <c r="AA266" s="96" t="s">
        <v>169</v>
      </c>
      <c r="AB266" s="96" t="s">
        <v>2365</v>
      </c>
      <c r="AC266" s="99"/>
      <c r="AD266" s="119">
        <v>44741</v>
      </c>
      <c r="AE266" s="183" t="s">
        <v>4437</v>
      </c>
      <c r="AF266" s="171"/>
      <c r="AG266" s="170">
        <f t="shared" si="103"/>
        <v>63</v>
      </c>
      <c r="AH266" s="144">
        <f t="shared" si="104"/>
        <v>63</v>
      </c>
      <c r="AI266" s="99" t="s">
        <v>146</v>
      </c>
      <c r="AJ266" s="96" t="s">
        <v>171</v>
      </c>
      <c r="AK266" s="96" t="s">
        <v>2366</v>
      </c>
      <c r="AL266" s="119">
        <v>44733</v>
      </c>
      <c r="AM266" s="211">
        <v>54579607</v>
      </c>
      <c r="AN266" s="96" t="s">
        <v>2367</v>
      </c>
      <c r="AO266" s="96" t="s">
        <v>2368</v>
      </c>
      <c r="AP266" s="181">
        <f t="shared" ref="AP266" si="105">+K266-AM266</f>
        <v>268751</v>
      </c>
      <c r="AQ266" s="138"/>
      <c r="AR266" s="138"/>
      <c r="AS266" s="99"/>
      <c r="AT266" s="99"/>
      <c r="AU266" s="138"/>
      <c r="AV266" s="99" t="s">
        <v>174</v>
      </c>
      <c r="AW266" s="99" t="s">
        <v>175</v>
      </c>
      <c r="AX266" s="96" t="s">
        <v>2382</v>
      </c>
      <c r="AY266" s="167">
        <f>+AP266/K266</f>
        <v>4.8998914425113695E-3</v>
      </c>
      <c r="AZ266" s="139">
        <f t="shared" si="80"/>
        <v>1</v>
      </c>
      <c r="BA266" s="139">
        <f>IF(T266="Invitación Privada",1,IF(T266="Invitación Pública",2,0))</f>
        <v>0</v>
      </c>
      <c r="BB266" s="132">
        <f>IF(AA266="CONTRATADO",IF(BA266=1,NETWORKDAYS.INTL(E266,AD266,1,[1]FESTIVOS!$B$3:$B$10)-1,AD266-E266))-BD266</f>
        <v>63</v>
      </c>
      <c r="BC266" s="156"/>
      <c r="BD266" s="162"/>
      <c r="BE266" s="163"/>
      <c r="BF266" s="160"/>
    </row>
    <row r="267" spans="2:58" ht="43.9" customHeight="1" x14ac:dyDescent="0.25">
      <c r="B267" s="100">
        <f t="shared" si="77"/>
        <v>249</v>
      </c>
      <c r="C267" s="293" t="s">
        <v>1737</v>
      </c>
      <c r="D267" s="265" t="s">
        <v>28</v>
      </c>
      <c r="E267" s="272">
        <v>44678</v>
      </c>
      <c r="F267" s="268" t="s">
        <v>4434</v>
      </c>
      <c r="G267" s="269" t="s">
        <v>1738</v>
      </c>
      <c r="H267" s="265" t="s">
        <v>1739</v>
      </c>
      <c r="I267" s="265" t="s">
        <v>146</v>
      </c>
      <c r="J267" s="269" t="s">
        <v>1740</v>
      </c>
      <c r="K267" s="342">
        <v>146915020</v>
      </c>
      <c r="L267" s="282"/>
      <c r="M267" s="265" t="s">
        <v>1876</v>
      </c>
      <c r="N267" s="302" t="str">
        <f>MID(M267,5,3)</f>
        <v>IPU</v>
      </c>
      <c r="O267" s="265">
        <v>202202905</v>
      </c>
      <c r="P267" s="271"/>
      <c r="Q267" s="265" t="s">
        <v>146</v>
      </c>
      <c r="R267" s="265" t="s">
        <v>146</v>
      </c>
      <c r="S267" s="265" t="s">
        <v>1561</v>
      </c>
      <c r="T267" s="111" t="s">
        <v>40</v>
      </c>
      <c r="U267" s="269" t="s">
        <v>1357</v>
      </c>
      <c r="V267" s="285">
        <v>44690</v>
      </c>
      <c r="W267" s="303" t="e">
        <f t="shared" ref="W267:W277" si="106">+$D$4-E267</f>
        <v>#VALUE!</v>
      </c>
      <c r="X267" s="303" t="e">
        <f t="shared" ref="X267:X277" si="107">$D$4-V267</f>
        <v>#VALUE!</v>
      </c>
      <c r="Y267" s="265" t="s">
        <v>1300</v>
      </c>
      <c r="Z267" s="265" t="s">
        <v>214</v>
      </c>
      <c r="AA267" s="265" t="s">
        <v>215</v>
      </c>
      <c r="AB267" s="265"/>
      <c r="AC267" s="304" t="s">
        <v>1877</v>
      </c>
      <c r="AD267" s="285">
        <v>44701</v>
      </c>
      <c r="AE267" s="285"/>
      <c r="AF267" s="305" t="str">
        <f>+IF(AD267="","",TEXT(AD267,"mmm"))</f>
        <v>may</v>
      </c>
      <c r="AG267" s="306">
        <f t="shared" si="103"/>
        <v>23</v>
      </c>
      <c r="AH267" s="307">
        <f t="shared" si="104"/>
        <v>11</v>
      </c>
      <c r="AI267" s="265" t="s">
        <v>258</v>
      </c>
      <c r="AJ267" s="265" t="s">
        <v>171</v>
      </c>
      <c r="AK267" s="265"/>
      <c r="AL267" s="265"/>
      <c r="AM267" s="309"/>
      <c r="AN267" s="269"/>
      <c r="AO267" s="265"/>
      <c r="AP267" s="309"/>
      <c r="AQ267" s="289"/>
      <c r="AR267" s="269"/>
      <c r="AS267" s="265"/>
      <c r="AT267" s="260"/>
      <c r="AU267" s="260"/>
      <c r="AV267" s="200"/>
      <c r="AW267" s="200"/>
      <c r="AX267" s="200"/>
      <c r="AY267" s="200"/>
      <c r="AZ267" s="139">
        <f t="shared" si="80"/>
        <v>1</v>
      </c>
      <c r="BA267" s="200"/>
      <c r="BB267" s="203"/>
      <c r="BC267" s="95"/>
      <c r="BD267" s="2"/>
      <c r="BE267" s="2"/>
      <c r="BF267" s="160"/>
    </row>
    <row r="268" spans="2:58" ht="43.9" customHeight="1" x14ac:dyDescent="0.25">
      <c r="B268" s="100">
        <f t="shared" si="77"/>
        <v>250</v>
      </c>
      <c r="C268" s="293" t="s">
        <v>1741</v>
      </c>
      <c r="D268" s="265" t="s">
        <v>28</v>
      </c>
      <c r="E268" s="272">
        <v>44680</v>
      </c>
      <c r="F268" s="268" t="s">
        <v>4434</v>
      </c>
      <c r="G268" s="269" t="s">
        <v>1575</v>
      </c>
      <c r="H268" s="265" t="s">
        <v>1576</v>
      </c>
      <c r="I268" s="265" t="s">
        <v>146</v>
      </c>
      <c r="J268" s="269" t="s">
        <v>1742</v>
      </c>
      <c r="K268" s="342">
        <v>2199997563</v>
      </c>
      <c r="L268" s="282"/>
      <c r="M268" s="295" t="s">
        <v>1911</v>
      </c>
      <c r="N268" s="302" t="str">
        <f>MID(M268,5,3)</f>
        <v>IPU</v>
      </c>
      <c r="O268" s="265">
        <v>202200782</v>
      </c>
      <c r="P268" s="271"/>
      <c r="Q268" s="265" t="s">
        <v>146</v>
      </c>
      <c r="R268" s="265" t="s">
        <v>146</v>
      </c>
      <c r="S268" s="265" t="s">
        <v>1560</v>
      </c>
      <c r="T268" s="111" t="s">
        <v>40</v>
      </c>
      <c r="U268" s="269" t="s">
        <v>161</v>
      </c>
      <c r="V268" s="285">
        <v>44686</v>
      </c>
      <c r="W268" s="303" t="e">
        <f t="shared" si="106"/>
        <v>#VALUE!</v>
      </c>
      <c r="X268" s="303" t="e">
        <f t="shared" si="107"/>
        <v>#VALUE!</v>
      </c>
      <c r="Y268" s="265" t="s">
        <v>1300</v>
      </c>
      <c r="Z268" s="265" t="s">
        <v>152</v>
      </c>
      <c r="AA268" s="265" t="s">
        <v>153</v>
      </c>
      <c r="AB268" s="265"/>
      <c r="AC268" s="304" t="s">
        <v>2400</v>
      </c>
      <c r="AD268" s="285">
        <v>44774</v>
      </c>
      <c r="AE268" s="285"/>
      <c r="AF268" s="305" t="str">
        <f>+IF(AD268="","",TEXT(AD268,"mmm"))</f>
        <v>ago</v>
      </c>
      <c r="AG268" s="306">
        <f t="shared" si="103"/>
        <v>94</v>
      </c>
      <c r="AH268" s="307">
        <f t="shared" si="104"/>
        <v>88</v>
      </c>
      <c r="AI268" s="265"/>
      <c r="AJ268" s="265" t="s">
        <v>171</v>
      </c>
      <c r="AK268" s="265"/>
      <c r="AL268" s="265"/>
      <c r="AM268" s="265"/>
      <c r="AN268" s="309"/>
      <c r="AO268" s="269"/>
      <c r="AP268" s="265"/>
      <c r="AQ268" s="309"/>
      <c r="AR268" s="289"/>
      <c r="AS268" s="269"/>
      <c r="AT268" s="265"/>
      <c r="AU268" s="260"/>
      <c r="AV268" s="260"/>
      <c r="AW268" s="200"/>
      <c r="AX268" s="200"/>
      <c r="AY268" s="200"/>
      <c r="AZ268" s="139">
        <f t="shared" si="80"/>
        <v>1</v>
      </c>
      <c r="BA268" s="200"/>
      <c r="BB268" s="200"/>
      <c r="BC268" s="3"/>
      <c r="BD268" s="95"/>
      <c r="BE268" s="2"/>
      <c r="BF268" s="160"/>
    </row>
    <row r="269" spans="2:58" ht="43.9" customHeight="1" x14ac:dyDescent="0.25">
      <c r="B269" s="100">
        <f t="shared" si="77"/>
        <v>251</v>
      </c>
      <c r="C269" s="293" t="s">
        <v>1743</v>
      </c>
      <c r="D269" s="265" t="s">
        <v>359</v>
      </c>
      <c r="E269" s="272">
        <v>44680</v>
      </c>
      <c r="F269" s="268" t="s">
        <v>4434</v>
      </c>
      <c r="G269" s="269" t="s">
        <v>1744</v>
      </c>
      <c r="H269" s="265" t="s">
        <v>1745</v>
      </c>
      <c r="I269" s="265" t="s">
        <v>146</v>
      </c>
      <c r="J269" s="269" t="s">
        <v>1746</v>
      </c>
      <c r="K269" s="342">
        <v>455000000</v>
      </c>
      <c r="L269" s="282"/>
      <c r="M269" s="265" t="s">
        <v>2401</v>
      </c>
      <c r="N269" s="302" t="str">
        <f>MID(M269,5,3)</f>
        <v>IPU</v>
      </c>
      <c r="O269" s="265">
        <v>202203098</v>
      </c>
      <c r="P269" s="271"/>
      <c r="Q269" s="265" t="s">
        <v>146</v>
      </c>
      <c r="R269" s="265" t="s">
        <v>146</v>
      </c>
      <c r="S269" s="265" t="s">
        <v>1561</v>
      </c>
      <c r="T269" s="111" t="s">
        <v>40</v>
      </c>
      <c r="U269" s="269" t="s">
        <v>312</v>
      </c>
      <c r="V269" s="285">
        <v>44681</v>
      </c>
      <c r="W269" s="303" t="e">
        <f t="shared" si="106"/>
        <v>#VALUE!</v>
      </c>
      <c r="X269" s="303" t="e">
        <f t="shared" si="107"/>
        <v>#VALUE!</v>
      </c>
      <c r="Y269" s="265" t="s">
        <v>1300</v>
      </c>
      <c r="Z269" s="265" t="s">
        <v>152</v>
      </c>
      <c r="AA269" s="265" t="s">
        <v>153</v>
      </c>
      <c r="AB269" s="265"/>
      <c r="AC269" s="304" t="s">
        <v>2402</v>
      </c>
      <c r="AD269" s="272">
        <v>44734</v>
      </c>
      <c r="AE269" s="265"/>
      <c r="AF269" s="305" t="str">
        <f>+IF(AD269="","",TEXT(AD269,"mmm"))</f>
        <v>jun</v>
      </c>
      <c r="AG269" s="306">
        <f t="shared" si="103"/>
        <v>54</v>
      </c>
      <c r="AH269" s="307">
        <f t="shared" si="104"/>
        <v>53</v>
      </c>
      <c r="AI269" s="265"/>
      <c r="AJ269" s="265" t="s">
        <v>171</v>
      </c>
      <c r="AK269" s="265"/>
      <c r="AL269" s="265"/>
      <c r="AM269" s="265"/>
      <c r="AN269" s="309"/>
      <c r="AO269" s="269"/>
      <c r="AP269" s="265"/>
      <c r="AQ269" s="309"/>
      <c r="AR269" s="289"/>
      <c r="AS269" s="269"/>
      <c r="AT269" s="265"/>
      <c r="AU269" s="260"/>
      <c r="AV269" s="260"/>
      <c r="AW269" s="200"/>
      <c r="AX269" s="200"/>
      <c r="AY269" s="200"/>
      <c r="AZ269" s="139">
        <f t="shared" si="80"/>
        <v>0</v>
      </c>
      <c r="BA269" s="200"/>
      <c r="BB269" s="200"/>
      <c r="BC269" s="3"/>
      <c r="BD269" s="95"/>
      <c r="BE269" s="2"/>
      <c r="BF269" s="160"/>
    </row>
    <row r="270" spans="2:58" ht="43.9" customHeight="1" x14ac:dyDescent="0.25">
      <c r="B270" s="100">
        <f t="shared" si="77"/>
        <v>252</v>
      </c>
      <c r="C270" s="293" t="s">
        <v>1747</v>
      </c>
      <c r="D270" s="265" t="s">
        <v>28</v>
      </c>
      <c r="E270" s="272">
        <v>44680</v>
      </c>
      <c r="F270" s="268" t="s">
        <v>4434</v>
      </c>
      <c r="G270" s="269" t="s">
        <v>1748</v>
      </c>
      <c r="H270" s="265" t="s">
        <v>1749</v>
      </c>
      <c r="I270" s="265" t="s">
        <v>146</v>
      </c>
      <c r="J270" s="269" t="s">
        <v>1750</v>
      </c>
      <c r="K270" s="342">
        <v>62022081</v>
      </c>
      <c r="L270" s="282"/>
      <c r="M270" s="265" t="s">
        <v>2088</v>
      </c>
      <c r="N270" s="302" t="str">
        <f>MID(M270,5,3)</f>
        <v>IPU</v>
      </c>
      <c r="O270" s="265">
        <v>202201836</v>
      </c>
      <c r="P270" s="271"/>
      <c r="Q270" s="265" t="s">
        <v>146</v>
      </c>
      <c r="R270" s="265" t="s">
        <v>146</v>
      </c>
      <c r="S270" s="265" t="s">
        <v>1561</v>
      </c>
      <c r="T270" s="111" t="s">
        <v>40</v>
      </c>
      <c r="U270" s="269" t="s">
        <v>452</v>
      </c>
      <c r="V270" s="285">
        <v>44683</v>
      </c>
      <c r="W270" s="303" t="e">
        <f t="shared" si="106"/>
        <v>#VALUE!</v>
      </c>
      <c r="X270" s="303" t="e">
        <f t="shared" si="107"/>
        <v>#VALUE!</v>
      </c>
      <c r="Y270" s="265" t="s">
        <v>1300</v>
      </c>
      <c r="Z270" s="265" t="s">
        <v>152</v>
      </c>
      <c r="AA270" s="265" t="s">
        <v>153</v>
      </c>
      <c r="AB270" s="265"/>
      <c r="AC270" s="304" t="s">
        <v>2403</v>
      </c>
      <c r="AD270" s="285">
        <v>44754</v>
      </c>
      <c r="AE270" s="285"/>
      <c r="AF270" s="305" t="str">
        <f>+IF(AD270="","",TEXT(AD270,"mmm"))</f>
        <v>jul</v>
      </c>
      <c r="AG270" s="306">
        <f t="shared" si="103"/>
        <v>74</v>
      </c>
      <c r="AH270" s="307">
        <f t="shared" si="104"/>
        <v>71</v>
      </c>
      <c r="AI270" s="265"/>
      <c r="AJ270" s="265" t="s">
        <v>171</v>
      </c>
      <c r="AK270" s="265"/>
      <c r="AL270" s="265"/>
      <c r="AM270" s="265"/>
      <c r="AN270" s="309"/>
      <c r="AO270" s="269"/>
      <c r="AP270" s="265"/>
      <c r="AQ270" s="309"/>
      <c r="AR270" s="289"/>
      <c r="AS270" s="269"/>
      <c r="AT270" s="265"/>
      <c r="AU270" s="260"/>
      <c r="AV270" s="260"/>
      <c r="AW270" s="200"/>
      <c r="AX270" s="200"/>
      <c r="AY270" s="200"/>
      <c r="AZ270" s="139">
        <f t="shared" si="80"/>
        <v>1</v>
      </c>
      <c r="BA270" s="200"/>
      <c r="BB270" s="200"/>
      <c r="BC270" s="3"/>
      <c r="BD270" s="95"/>
      <c r="BE270" s="2"/>
      <c r="BF270" s="160"/>
    </row>
    <row r="271" spans="2:58" ht="43.9" customHeight="1" x14ac:dyDescent="0.25">
      <c r="B271" s="100">
        <f t="shared" si="77"/>
        <v>253</v>
      </c>
      <c r="C271" s="110" t="s">
        <v>1912</v>
      </c>
      <c r="D271" s="99" t="s">
        <v>332</v>
      </c>
      <c r="E271" s="189">
        <v>44683</v>
      </c>
      <c r="F271" s="268" t="s">
        <v>4435</v>
      </c>
      <c r="G271" s="96" t="s">
        <v>1913</v>
      </c>
      <c r="H271" s="96" t="s">
        <v>1914</v>
      </c>
      <c r="I271" s="96" t="s">
        <v>470</v>
      </c>
      <c r="J271" s="96" t="s">
        <v>1915</v>
      </c>
      <c r="K271" s="344">
        <v>36514969</v>
      </c>
      <c r="L271" s="188" t="s">
        <v>3025</v>
      </c>
      <c r="M271" s="96" t="s">
        <v>146</v>
      </c>
      <c r="N271" s="96"/>
      <c r="O271" s="99">
        <v>202203027</v>
      </c>
      <c r="P271" s="185">
        <v>136514969</v>
      </c>
      <c r="Q271" s="96" t="s">
        <v>146</v>
      </c>
      <c r="R271" s="96" t="s">
        <v>146</v>
      </c>
      <c r="S271" s="99" t="s">
        <v>146</v>
      </c>
      <c r="T271" s="96" t="s">
        <v>230</v>
      </c>
      <c r="U271" s="96" t="s">
        <v>42</v>
      </c>
      <c r="V271" s="192">
        <v>44683</v>
      </c>
      <c r="W271" s="186" t="e">
        <f t="shared" si="106"/>
        <v>#VALUE!</v>
      </c>
      <c r="X271" s="186" t="e">
        <f t="shared" si="107"/>
        <v>#VALUE!</v>
      </c>
      <c r="Y271" s="99" t="s">
        <v>1317</v>
      </c>
      <c r="Z271" s="96" t="s">
        <v>168</v>
      </c>
      <c r="AA271" s="96" t="s">
        <v>169</v>
      </c>
      <c r="AB271" s="96" t="s">
        <v>3176</v>
      </c>
      <c r="AC271" s="99"/>
      <c r="AD271" s="97">
        <v>44825</v>
      </c>
      <c r="AE271" s="183" t="s">
        <v>4262</v>
      </c>
      <c r="AF271" s="183"/>
      <c r="AG271" s="186">
        <f t="shared" si="103"/>
        <v>142</v>
      </c>
      <c r="AH271" s="187">
        <f t="shared" si="104"/>
        <v>142</v>
      </c>
      <c r="AI271" s="99" t="s">
        <v>146</v>
      </c>
      <c r="AJ271" s="96" t="s">
        <v>171</v>
      </c>
      <c r="AK271" s="96" t="s">
        <v>3681</v>
      </c>
      <c r="AL271" s="97">
        <v>44811</v>
      </c>
      <c r="AM271" s="209">
        <v>36514969</v>
      </c>
      <c r="AN271" s="96" t="s">
        <v>1027</v>
      </c>
      <c r="AO271" s="99">
        <v>202208357</v>
      </c>
      <c r="AP271" s="181">
        <f t="shared" ref="AP271:AP273" si="108">+K271-AM271</f>
        <v>0</v>
      </c>
      <c r="AQ271" s="193"/>
      <c r="AR271" s="193"/>
      <c r="AS271" s="99"/>
      <c r="AT271" s="99"/>
      <c r="AU271" s="193"/>
      <c r="AV271" s="99" t="s">
        <v>174</v>
      </c>
      <c r="AW271" s="99" t="s">
        <v>175</v>
      </c>
      <c r="AX271" s="96" t="s">
        <v>2385</v>
      </c>
      <c r="AY271" s="167">
        <f t="shared" ref="AY271:AY273" si="109">+AP271/K271</f>
        <v>0</v>
      </c>
      <c r="AZ271" s="139">
        <f t="shared" si="80"/>
        <v>0</v>
      </c>
      <c r="BA271" s="139">
        <f>IF(T271="Invitación Privada",1,IF(T271="Invitación Pública",2,0))</f>
        <v>0</v>
      </c>
      <c r="BB271" s="132">
        <f>IF(AA271="CONTRATADO",IF(BA271=1,NETWORKDAYS.INTL(E271,AD271,1,[1]FESTIVOS!$B$3:$B$10)-1,AD271-E271))-BD271</f>
        <v>142</v>
      </c>
      <c r="BD271" s="207"/>
      <c r="BE271" s="208"/>
    </row>
    <row r="272" spans="2:58" ht="43.9" customHeight="1" x14ac:dyDescent="0.25">
      <c r="B272" s="100">
        <f t="shared" si="77"/>
        <v>254</v>
      </c>
      <c r="C272" s="110" t="s">
        <v>1916</v>
      </c>
      <c r="D272" s="99" t="s">
        <v>332</v>
      </c>
      <c r="E272" s="189">
        <v>44683</v>
      </c>
      <c r="F272" s="268" t="s">
        <v>4435</v>
      </c>
      <c r="G272" s="96" t="s">
        <v>1917</v>
      </c>
      <c r="H272" s="96" t="s">
        <v>1918</v>
      </c>
      <c r="I272" s="96" t="s">
        <v>458</v>
      </c>
      <c r="J272" s="96" t="s">
        <v>1919</v>
      </c>
      <c r="K272" s="344">
        <v>50000000</v>
      </c>
      <c r="L272" s="188" t="s">
        <v>228</v>
      </c>
      <c r="M272" s="96" t="s">
        <v>146</v>
      </c>
      <c r="N272" s="96"/>
      <c r="O272" s="99">
        <v>202203027</v>
      </c>
      <c r="P272" s="185">
        <v>136514969</v>
      </c>
      <c r="Q272" s="96" t="s">
        <v>146</v>
      </c>
      <c r="R272" s="96" t="s">
        <v>146</v>
      </c>
      <c r="S272" s="99" t="s">
        <v>146</v>
      </c>
      <c r="T272" s="96" t="s">
        <v>230</v>
      </c>
      <c r="U272" s="96" t="s">
        <v>42</v>
      </c>
      <c r="V272" s="192">
        <v>44683</v>
      </c>
      <c r="W272" s="186" t="e">
        <f t="shared" si="106"/>
        <v>#VALUE!</v>
      </c>
      <c r="X272" s="186" t="e">
        <f t="shared" si="107"/>
        <v>#VALUE!</v>
      </c>
      <c r="Y272" s="99" t="s">
        <v>1317</v>
      </c>
      <c r="Z272" s="96" t="s">
        <v>168</v>
      </c>
      <c r="AA272" s="96" t="s">
        <v>169</v>
      </c>
      <c r="AB272" s="96" t="s">
        <v>2089</v>
      </c>
      <c r="AC272" s="99"/>
      <c r="AD272" s="97">
        <v>44825</v>
      </c>
      <c r="AE272" s="183" t="s">
        <v>4262</v>
      </c>
      <c r="AF272" s="183"/>
      <c r="AG272" s="186">
        <f t="shared" si="103"/>
        <v>142</v>
      </c>
      <c r="AH272" s="187">
        <f t="shared" si="104"/>
        <v>142</v>
      </c>
      <c r="AI272" s="99" t="s">
        <v>146</v>
      </c>
      <c r="AJ272" s="96" t="s">
        <v>171</v>
      </c>
      <c r="AK272" s="96" t="s">
        <v>3682</v>
      </c>
      <c r="AL272" s="97">
        <v>44811</v>
      </c>
      <c r="AM272" s="209">
        <v>50000000</v>
      </c>
      <c r="AN272" s="96" t="s">
        <v>1023</v>
      </c>
      <c r="AO272" s="99">
        <v>202208355</v>
      </c>
      <c r="AP272" s="181">
        <f t="shared" si="108"/>
        <v>0</v>
      </c>
      <c r="AQ272" s="193"/>
      <c r="AR272" s="193"/>
      <c r="AS272" s="99"/>
      <c r="AT272" s="99"/>
      <c r="AU272" s="193"/>
      <c r="AV272" s="99" t="s">
        <v>174</v>
      </c>
      <c r="AW272" s="99" t="s">
        <v>175</v>
      </c>
      <c r="AX272" s="96" t="s">
        <v>2385</v>
      </c>
      <c r="AY272" s="167">
        <f t="shared" si="109"/>
        <v>0</v>
      </c>
      <c r="AZ272" s="139">
        <f t="shared" si="80"/>
        <v>0</v>
      </c>
      <c r="BA272" s="139">
        <f>IF(T272="Invitación Privada",1,IF(T272="Invitación Pública",2,0))</f>
        <v>0</v>
      </c>
      <c r="BB272" s="132">
        <f>IF(AA272="CONTRATADO",IF(BA272=1,NETWORKDAYS.INTL(E272,AD272,1,[1]FESTIVOS!$B$3:$B$10)-1,AD272-E272))-BD272</f>
        <v>142</v>
      </c>
      <c r="BD272" s="207"/>
      <c r="BE272" s="208"/>
    </row>
    <row r="273" spans="2:58" ht="43.9" customHeight="1" x14ac:dyDescent="0.25">
      <c r="B273" s="100">
        <f t="shared" si="77"/>
        <v>255</v>
      </c>
      <c r="C273" s="110" t="s">
        <v>1920</v>
      </c>
      <c r="D273" s="99" t="s">
        <v>332</v>
      </c>
      <c r="E273" s="189">
        <v>44683</v>
      </c>
      <c r="F273" s="268" t="s">
        <v>4435</v>
      </c>
      <c r="G273" s="96" t="s">
        <v>1921</v>
      </c>
      <c r="H273" s="96" t="s">
        <v>1922</v>
      </c>
      <c r="I273" s="96" t="s">
        <v>477</v>
      </c>
      <c r="J273" s="96" t="s">
        <v>1923</v>
      </c>
      <c r="K273" s="344">
        <v>50000000</v>
      </c>
      <c r="L273" s="194" t="s">
        <v>228</v>
      </c>
      <c r="M273" s="96" t="s">
        <v>146</v>
      </c>
      <c r="N273" s="96"/>
      <c r="O273" s="99">
        <v>202203499</v>
      </c>
      <c r="P273" s="185"/>
      <c r="Q273" s="96" t="s">
        <v>146</v>
      </c>
      <c r="R273" s="96" t="s">
        <v>146</v>
      </c>
      <c r="S273" s="99" t="s">
        <v>146</v>
      </c>
      <c r="T273" s="96" t="s">
        <v>230</v>
      </c>
      <c r="U273" s="96" t="s">
        <v>42</v>
      </c>
      <c r="V273" s="192">
        <v>44683</v>
      </c>
      <c r="W273" s="186" t="e">
        <f t="shared" si="106"/>
        <v>#VALUE!</v>
      </c>
      <c r="X273" s="186" t="e">
        <f t="shared" si="107"/>
        <v>#VALUE!</v>
      </c>
      <c r="Y273" s="99" t="s">
        <v>1317</v>
      </c>
      <c r="Z273" s="96" t="s">
        <v>168</v>
      </c>
      <c r="AA273" s="96" t="s">
        <v>169</v>
      </c>
      <c r="AB273" s="96" t="s">
        <v>2090</v>
      </c>
      <c r="AC273" s="99"/>
      <c r="AD273" s="97">
        <v>44816</v>
      </c>
      <c r="AE273" s="183" t="s">
        <v>4262</v>
      </c>
      <c r="AF273" s="183"/>
      <c r="AG273" s="186">
        <f t="shared" si="103"/>
        <v>133</v>
      </c>
      <c r="AH273" s="187">
        <f t="shared" si="104"/>
        <v>133</v>
      </c>
      <c r="AI273" s="194" t="s">
        <v>146</v>
      </c>
      <c r="AJ273" s="96" t="s">
        <v>171</v>
      </c>
      <c r="AK273" s="96" t="s">
        <v>3683</v>
      </c>
      <c r="AL273" s="97">
        <v>44809</v>
      </c>
      <c r="AM273" s="209">
        <v>50000000</v>
      </c>
      <c r="AN273" s="96" t="s">
        <v>1029</v>
      </c>
      <c r="AO273" s="99">
        <v>202208310</v>
      </c>
      <c r="AP273" s="181">
        <f t="shared" si="108"/>
        <v>0</v>
      </c>
      <c r="AQ273" s="193"/>
      <c r="AR273" s="193"/>
      <c r="AS273" s="99"/>
      <c r="AT273" s="99"/>
      <c r="AU273" s="193"/>
      <c r="AV273" s="99" t="s">
        <v>1000</v>
      </c>
      <c r="AW273" s="99" t="s">
        <v>692</v>
      </c>
      <c r="AX273" s="96" t="s">
        <v>2385</v>
      </c>
      <c r="AY273" s="167">
        <f t="shared" si="109"/>
        <v>0</v>
      </c>
      <c r="AZ273" s="139">
        <f t="shared" si="80"/>
        <v>0</v>
      </c>
      <c r="BA273" s="139">
        <f>IF(T273="Invitación Privada",1,IF(T273="Invitación Pública",2,0))</f>
        <v>0</v>
      </c>
      <c r="BB273" s="132">
        <f>IF(AA273="CONTRATADO",IF(BA273=1,NETWORKDAYS.INTL(E273,AD273,1,[1]FESTIVOS!$B$3:$B$10)-1,AD273-E273))-BD273</f>
        <v>133</v>
      </c>
      <c r="BD273" s="207"/>
      <c r="BE273" s="208"/>
    </row>
    <row r="274" spans="2:58" ht="43.9" customHeight="1" x14ac:dyDescent="0.25">
      <c r="B274" s="100">
        <f t="shared" si="77"/>
        <v>256</v>
      </c>
      <c r="C274" s="293" t="s">
        <v>1924</v>
      </c>
      <c r="D274" s="265" t="s">
        <v>332</v>
      </c>
      <c r="E274" s="272">
        <v>44683</v>
      </c>
      <c r="F274" s="268" t="s">
        <v>4435</v>
      </c>
      <c r="G274" s="269" t="s">
        <v>1925</v>
      </c>
      <c r="H274" s="265" t="s">
        <v>1926</v>
      </c>
      <c r="I274" s="265" t="s">
        <v>146</v>
      </c>
      <c r="J274" s="269" t="s">
        <v>1927</v>
      </c>
      <c r="K274" s="342">
        <v>211311108</v>
      </c>
      <c r="L274" s="282"/>
      <c r="M274" s="265" t="s">
        <v>2421</v>
      </c>
      <c r="N274" s="302" t="str">
        <f>MID(M274,5,3)</f>
        <v>IPU</v>
      </c>
      <c r="O274" s="265" t="s">
        <v>1928</v>
      </c>
      <c r="P274" s="271"/>
      <c r="Q274" s="265" t="s">
        <v>146</v>
      </c>
      <c r="R274" s="265" t="s">
        <v>146</v>
      </c>
      <c r="S274" s="265" t="s">
        <v>1561</v>
      </c>
      <c r="T274" s="111" t="s">
        <v>40</v>
      </c>
      <c r="U274" s="269" t="s">
        <v>4012</v>
      </c>
      <c r="V274" s="285">
        <v>44683</v>
      </c>
      <c r="W274" s="303" t="e">
        <f t="shared" si="106"/>
        <v>#VALUE!</v>
      </c>
      <c r="X274" s="303" t="e">
        <f t="shared" si="107"/>
        <v>#VALUE!</v>
      </c>
      <c r="Y274" s="265" t="s">
        <v>1300</v>
      </c>
      <c r="Z274" s="265" t="s">
        <v>214</v>
      </c>
      <c r="AA274" s="265" t="s">
        <v>215</v>
      </c>
      <c r="AB274" s="265"/>
      <c r="AC274" s="304" t="s">
        <v>2422</v>
      </c>
      <c r="AD274" s="272">
        <v>44769</v>
      </c>
      <c r="AE274" s="272"/>
      <c r="AF274" s="305" t="str">
        <f>+IF(AD274="","",TEXT(AD274,"mmm"))</f>
        <v>jul</v>
      </c>
      <c r="AG274" s="306">
        <f t="shared" si="103"/>
        <v>86</v>
      </c>
      <c r="AH274" s="307">
        <f t="shared" si="104"/>
        <v>86</v>
      </c>
      <c r="AI274" s="265"/>
      <c r="AJ274" s="265" t="s">
        <v>171</v>
      </c>
      <c r="AK274" s="265"/>
      <c r="AL274" s="265"/>
      <c r="AM274" s="309"/>
      <c r="AN274" s="269"/>
      <c r="AO274" s="265"/>
      <c r="AP274" s="309"/>
      <c r="AQ274" s="289"/>
      <c r="AR274" s="269"/>
      <c r="AS274" s="265"/>
      <c r="AT274" s="260"/>
      <c r="AU274" s="260"/>
      <c r="AV274" s="200"/>
      <c r="AW274" s="200"/>
      <c r="AX274" s="200"/>
      <c r="AY274" s="200"/>
      <c r="AZ274" s="139">
        <f t="shared" si="80"/>
        <v>0</v>
      </c>
      <c r="BA274" s="200"/>
      <c r="BB274" s="203"/>
      <c r="BC274" s="95"/>
      <c r="BD274" s="2"/>
      <c r="BE274" s="2"/>
      <c r="BF274" s="160"/>
    </row>
    <row r="275" spans="2:58" ht="43.9" customHeight="1" x14ac:dyDescent="0.25">
      <c r="B275" s="100">
        <f t="shared" si="77"/>
        <v>257</v>
      </c>
      <c r="C275" s="293" t="s">
        <v>1929</v>
      </c>
      <c r="D275" s="312" t="s">
        <v>32</v>
      </c>
      <c r="E275" s="272">
        <v>44683</v>
      </c>
      <c r="F275" s="268" t="s">
        <v>4435</v>
      </c>
      <c r="G275" s="269" t="s">
        <v>1930</v>
      </c>
      <c r="H275" s="265" t="s">
        <v>1931</v>
      </c>
      <c r="I275" s="265" t="s">
        <v>146</v>
      </c>
      <c r="J275" s="269" t="s">
        <v>1932</v>
      </c>
      <c r="K275" s="342">
        <v>7345655149</v>
      </c>
      <c r="L275" s="282"/>
      <c r="M275" s="295" t="s">
        <v>1933</v>
      </c>
      <c r="N275" s="302" t="str">
        <f>MID(M275,5,3)</f>
        <v>IPU</v>
      </c>
      <c r="O275" s="265">
        <v>202202695</v>
      </c>
      <c r="P275" s="271"/>
      <c r="Q275" s="293" t="s">
        <v>3167</v>
      </c>
      <c r="R275" s="265" t="s">
        <v>146</v>
      </c>
      <c r="S275" s="265" t="s">
        <v>1560</v>
      </c>
      <c r="T275" s="111" t="s">
        <v>40</v>
      </c>
      <c r="U275" s="269" t="s">
        <v>161</v>
      </c>
      <c r="V275" s="285">
        <v>44683</v>
      </c>
      <c r="W275" s="303" t="e">
        <f t="shared" si="106"/>
        <v>#VALUE!</v>
      </c>
      <c r="X275" s="303" t="e">
        <f t="shared" si="107"/>
        <v>#VALUE!</v>
      </c>
      <c r="Y275" s="265" t="s">
        <v>1300</v>
      </c>
      <c r="Z275" s="265" t="s">
        <v>152</v>
      </c>
      <c r="AA275" s="265" t="s">
        <v>153</v>
      </c>
      <c r="AB275" s="265"/>
      <c r="AC275" s="304" t="s">
        <v>2404</v>
      </c>
      <c r="AD275" s="285">
        <v>44774</v>
      </c>
      <c r="AE275" s="285"/>
      <c r="AF275" s="305" t="str">
        <f>+IF(AD275="","",TEXT(AD275,"mmm"))</f>
        <v>ago</v>
      </c>
      <c r="AG275" s="306">
        <f t="shared" si="103"/>
        <v>91</v>
      </c>
      <c r="AH275" s="307">
        <f t="shared" si="104"/>
        <v>91</v>
      </c>
      <c r="AI275" s="265"/>
      <c r="AJ275" s="265" t="s">
        <v>171</v>
      </c>
      <c r="AK275" s="265"/>
      <c r="AL275" s="265"/>
      <c r="AM275" s="265"/>
      <c r="AN275" s="309"/>
      <c r="AO275" s="269"/>
      <c r="AP275" s="265"/>
      <c r="AQ275" s="309"/>
      <c r="AR275" s="289"/>
      <c r="AS275" s="269"/>
      <c r="AT275" s="265"/>
      <c r="AU275" s="260"/>
      <c r="AV275" s="260"/>
      <c r="AW275" s="200"/>
      <c r="AX275" s="200"/>
      <c r="AY275" s="200"/>
      <c r="AZ275" s="139">
        <f t="shared" si="80"/>
        <v>1</v>
      </c>
      <c r="BA275" s="200"/>
      <c r="BB275" s="200"/>
      <c r="BC275" s="3"/>
      <c r="BD275" s="95"/>
      <c r="BE275" s="2"/>
    </row>
    <row r="276" spans="2:58" ht="43.9" customHeight="1" x14ac:dyDescent="0.25">
      <c r="B276" s="100">
        <f t="shared" ref="B276:B339" si="110">+B275+1</f>
        <v>258</v>
      </c>
      <c r="C276" s="293" t="s">
        <v>1934</v>
      </c>
      <c r="D276" s="265" t="s">
        <v>28</v>
      </c>
      <c r="E276" s="272">
        <v>44686</v>
      </c>
      <c r="F276" s="268" t="s">
        <v>4435</v>
      </c>
      <c r="G276" s="269" t="s">
        <v>1935</v>
      </c>
      <c r="H276" s="265" t="s">
        <v>1936</v>
      </c>
      <c r="I276" s="265" t="s">
        <v>146</v>
      </c>
      <c r="J276" s="269" t="s">
        <v>1937</v>
      </c>
      <c r="K276" s="342">
        <v>137054145</v>
      </c>
      <c r="L276" s="282"/>
      <c r="M276" s="265" t="s">
        <v>1938</v>
      </c>
      <c r="N276" s="302" t="str">
        <f>MID(M276,5,3)</f>
        <v>IPU</v>
      </c>
      <c r="O276" s="265">
        <v>202203121</v>
      </c>
      <c r="P276" s="271"/>
      <c r="Q276" s="265" t="s">
        <v>146</v>
      </c>
      <c r="R276" s="265" t="s">
        <v>146</v>
      </c>
      <c r="S276" s="265" t="s">
        <v>1561</v>
      </c>
      <c r="T276" s="111" t="s">
        <v>40</v>
      </c>
      <c r="U276" s="269" t="s">
        <v>452</v>
      </c>
      <c r="V276" s="285">
        <v>44691</v>
      </c>
      <c r="W276" s="303" t="e">
        <f t="shared" si="106"/>
        <v>#VALUE!</v>
      </c>
      <c r="X276" s="303" t="e">
        <f t="shared" si="107"/>
        <v>#VALUE!</v>
      </c>
      <c r="Y276" s="265" t="s">
        <v>1300</v>
      </c>
      <c r="Z276" s="265" t="s">
        <v>2055</v>
      </c>
      <c r="AA276" s="265" t="s">
        <v>153</v>
      </c>
      <c r="AB276" s="265"/>
      <c r="AC276" s="304" t="s">
        <v>2070</v>
      </c>
      <c r="AD276" s="272">
        <v>44721</v>
      </c>
      <c r="AE276" s="265"/>
      <c r="AF276" s="305" t="str">
        <f>+IF(AD276="","",TEXT(AD276,"mmm"))</f>
        <v>jun</v>
      </c>
      <c r="AG276" s="306">
        <f t="shared" si="103"/>
        <v>35</v>
      </c>
      <c r="AH276" s="307">
        <f t="shared" si="104"/>
        <v>30</v>
      </c>
      <c r="AI276" s="265"/>
      <c r="AJ276" s="265" t="s">
        <v>171</v>
      </c>
      <c r="AK276" s="265"/>
      <c r="AL276" s="265"/>
      <c r="AM276" s="265"/>
      <c r="AN276" s="309"/>
      <c r="AO276" s="269"/>
      <c r="AP276" s="265"/>
      <c r="AQ276" s="309"/>
      <c r="AR276" s="289"/>
      <c r="AS276" s="269"/>
      <c r="AT276" s="265"/>
      <c r="AU276" s="260"/>
      <c r="AV276" s="260"/>
      <c r="AW276" s="200"/>
      <c r="AX276" s="200"/>
      <c r="AY276" s="200"/>
      <c r="AZ276" s="139">
        <f t="shared" si="80"/>
        <v>1</v>
      </c>
      <c r="BA276" s="200"/>
      <c r="BB276" s="200"/>
      <c r="BC276" s="3"/>
      <c r="BD276" s="95"/>
      <c r="BE276" s="2"/>
    </row>
    <row r="277" spans="2:58" ht="43.9" customHeight="1" x14ac:dyDescent="0.25">
      <c r="B277" s="100">
        <f t="shared" si="110"/>
        <v>259</v>
      </c>
      <c r="C277" s="110" t="s">
        <v>1939</v>
      </c>
      <c r="D277" s="99" t="s">
        <v>28</v>
      </c>
      <c r="E277" s="189">
        <v>44686</v>
      </c>
      <c r="F277" s="268" t="s">
        <v>4435</v>
      </c>
      <c r="G277" s="96" t="s">
        <v>1940</v>
      </c>
      <c r="H277" s="96" t="s">
        <v>1941</v>
      </c>
      <c r="I277" s="96" t="s">
        <v>146</v>
      </c>
      <c r="J277" s="133" t="s">
        <v>1942</v>
      </c>
      <c r="K277" s="344">
        <v>279990389</v>
      </c>
      <c r="L277" s="194" t="s">
        <v>228</v>
      </c>
      <c r="M277" s="99" t="s">
        <v>2451</v>
      </c>
      <c r="N277" s="99"/>
      <c r="O277" s="99">
        <v>202202920</v>
      </c>
      <c r="P277" s="185">
        <v>280000000</v>
      </c>
      <c r="Q277" s="96" t="s">
        <v>146</v>
      </c>
      <c r="R277" s="96" t="s">
        <v>146</v>
      </c>
      <c r="S277" s="99" t="s">
        <v>1561</v>
      </c>
      <c r="T277" s="111" t="s">
        <v>40</v>
      </c>
      <c r="U277" s="111" t="s">
        <v>187</v>
      </c>
      <c r="V277" s="192">
        <v>44691</v>
      </c>
      <c r="W277" s="186" t="e">
        <f t="shared" si="106"/>
        <v>#VALUE!</v>
      </c>
      <c r="X277" s="186" t="e">
        <f t="shared" si="107"/>
        <v>#VALUE!</v>
      </c>
      <c r="Y277" s="99" t="s">
        <v>1317</v>
      </c>
      <c r="Z277" s="96" t="s">
        <v>168</v>
      </c>
      <c r="AA277" s="96" t="s">
        <v>169</v>
      </c>
      <c r="AB277" s="96" t="s">
        <v>2452</v>
      </c>
      <c r="AC277" s="99"/>
      <c r="AD277" s="97">
        <v>44806</v>
      </c>
      <c r="AE277" s="183" t="s">
        <v>4262</v>
      </c>
      <c r="AF277" s="183"/>
      <c r="AG277" s="186">
        <f t="shared" si="103"/>
        <v>120</v>
      </c>
      <c r="AH277" s="187">
        <f t="shared" si="104"/>
        <v>115</v>
      </c>
      <c r="AI277" s="99" t="s">
        <v>146</v>
      </c>
      <c r="AJ277" s="96" t="s">
        <v>171</v>
      </c>
      <c r="AK277" s="99" t="s">
        <v>3684</v>
      </c>
      <c r="AL277" s="97">
        <v>44792</v>
      </c>
      <c r="AM277" s="209">
        <v>271765060</v>
      </c>
      <c r="AN277" s="96" t="s">
        <v>3675</v>
      </c>
      <c r="AO277" s="99">
        <v>202208264</v>
      </c>
      <c r="AP277" s="181">
        <f t="shared" ref="AP277:AP278" si="111">+K277-AM277</f>
        <v>8225329</v>
      </c>
      <c r="AQ277" s="193"/>
      <c r="AR277" s="193"/>
      <c r="AS277" s="99"/>
      <c r="AT277" s="99"/>
      <c r="AU277" s="193"/>
      <c r="AV277" s="99" t="s">
        <v>174</v>
      </c>
      <c r="AW277" s="99" t="s">
        <v>175</v>
      </c>
      <c r="AX277" s="96" t="s">
        <v>2379</v>
      </c>
      <c r="AY277" s="167">
        <f t="shared" ref="AY277:AY278" si="112">+AP277/K277</f>
        <v>2.9377183371819236E-2</v>
      </c>
      <c r="AZ277" s="139">
        <f t="shared" si="80"/>
        <v>1</v>
      </c>
      <c r="BA277" s="139">
        <f>IF(T277="Invitación Privada",1,IF(T277="Invitación Pública",2,0))</f>
        <v>2</v>
      </c>
      <c r="BB277" s="132">
        <f>IF(AA277="CONTRATADO",IF(BA277=1,NETWORKDAYS.INTL(E277,AD277,1,[1]FESTIVOS!$B$3:$B$10)-1,AD277-E277))-BD277</f>
        <v>109</v>
      </c>
      <c r="BD277" s="207">
        <v>11</v>
      </c>
      <c r="BE277" s="208" t="s">
        <v>3908</v>
      </c>
      <c r="BF277" s="76"/>
    </row>
    <row r="278" spans="2:58" ht="43.9" customHeight="1" x14ac:dyDescent="0.25">
      <c r="B278" s="100">
        <f t="shared" si="110"/>
        <v>260</v>
      </c>
      <c r="C278" s="117" t="s">
        <v>1943</v>
      </c>
      <c r="D278" s="116" t="s">
        <v>28</v>
      </c>
      <c r="E278" s="150">
        <v>44685</v>
      </c>
      <c r="F278" s="268" t="s">
        <v>4435</v>
      </c>
      <c r="G278" s="151" t="s">
        <v>1944</v>
      </c>
      <c r="H278" s="118" t="s">
        <v>1272</v>
      </c>
      <c r="I278" s="118" t="s">
        <v>146</v>
      </c>
      <c r="J278" s="134" t="s">
        <v>1273</v>
      </c>
      <c r="K278" s="345">
        <v>179985537</v>
      </c>
      <c r="L278" s="138" t="s">
        <v>3062</v>
      </c>
      <c r="M278" s="116" t="s">
        <v>1945</v>
      </c>
      <c r="N278" s="116"/>
      <c r="O278" s="116">
        <v>202200892</v>
      </c>
      <c r="P278" s="169"/>
      <c r="Q278" s="96" t="s">
        <v>146</v>
      </c>
      <c r="R278" s="96" t="s">
        <v>146</v>
      </c>
      <c r="S278" s="99" t="s">
        <v>1561</v>
      </c>
      <c r="T278" s="111" t="s">
        <v>40</v>
      </c>
      <c r="U278" s="118" t="s">
        <v>187</v>
      </c>
      <c r="V278" s="119">
        <v>44691</v>
      </c>
      <c r="W278" s="170">
        <f>+$D$2-E278</f>
        <v>-44685</v>
      </c>
      <c r="X278" s="170">
        <f>$D$2-V278</f>
        <v>-44691</v>
      </c>
      <c r="Y278" s="99" t="s">
        <v>1317</v>
      </c>
      <c r="Z278" s="118" t="s">
        <v>168</v>
      </c>
      <c r="AA278" s="118" t="s">
        <v>169</v>
      </c>
      <c r="AB278" s="118" t="s">
        <v>3092</v>
      </c>
      <c r="AC278" s="116"/>
      <c r="AD278" s="121">
        <v>44761</v>
      </c>
      <c r="AE278" s="183" t="s">
        <v>4437</v>
      </c>
      <c r="AF278" s="171"/>
      <c r="AG278" s="175">
        <f t="shared" si="103"/>
        <v>76</v>
      </c>
      <c r="AH278" s="152">
        <f t="shared" si="104"/>
        <v>70</v>
      </c>
      <c r="AI278" s="99" t="s">
        <v>146</v>
      </c>
      <c r="AJ278" s="118" t="s">
        <v>171</v>
      </c>
      <c r="AK278" s="116" t="s">
        <v>3093</v>
      </c>
      <c r="AL278" s="121">
        <v>44750</v>
      </c>
      <c r="AM278" s="211">
        <v>176439396</v>
      </c>
      <c r="AN278" s="118" t="s">
        <v>3094</v>
      </c>
      <c r="AO278" s="116"/>
      <c r="AP278" s="181">
        <f t="shared" si="111"/>
        <v>3546141</v>
      </c>
      <c r="AQ278" s="138"/>
      <c r="AR278" s="138"/>
      <c r="AS278" s="116"/>
      <c r="AT278" s="116"/>
      <c r="AU278" s="138"/>
      <c r="AV278" s="118" t="s">
        <v>1000</v>
      </c>
      <c r="AW278" s="116" t="s">
        <v>692</v>
      </c>
      <c r="AX278" s="96" t="s">
        <v>2379</v>
      </c>
      <c r="AY278" s="167">
        <f t="shared" si="112"/>
        <v>1.9702366418475059E-2</v>
      </c>
      <c r="AZ278" s="139">
        <f t="shared" ref="AZ278:AZ341" si="113">IF(D278="GUENAA",1,IF(D278="GUENE",1,IF(D278="GUENT",1,0)))</f>
        <v>1</v>
      </c>
      <c r="BA278" s="139">
        <f>IF(T278="Invitación Privada",1,IF(T278="Invitación Pública",2,0))</f>
        <v>2</v>
      </c>
      <c r="BB278" s="132">
        <f>IF(AA278="CONTRATADO",IF(BA278=1,NETWORKDAYS.INTL(E278,AD278,1,[1]FESTIVOS!$B$3:$B$10)-1,AD278-E278))-BD278</f>
        <v>76</v>
      </c>
      <c r="BC278" s="156"/>
      <c r="BD278" s="162"/>
      <c r="BE278" s="163"/>
      <c r="BF278" s="76"/>
    </row>
    <row r="279" spans="2:58" ht="43.9" customHeight="1" x14ac:dyDescent="0.25">
      <c r="B279" s="100">
        <f t="shared" si="110"/>
        <v>261</v>
      </c>
      <c r="C279" s="293" t="s">
        <v>1946</v>
      </c>
      <c r="D279" s="265" t="s">
        <v>359</v>
      </c>
      <c r="E279" s="272">
        <v>44690</v>
      </c>
      <c r="F279" s="268" t="s">
        <v>4435</v>
      </c>
      <c r="G279" s="269" t="s">
        <v>1947</v>
      </c>
      <c r="H279" s="265" t="s">
        <v>1948</v>
      </c>
      <c r="I279" s="265" t="s">
        <v>146</v>
      </c>
      <c r="J279" s="269" t="s">
        <v>1949</v>
      </c>
      <c r="K279" s="342">
        <v>90170000</v>
      </c>
      <c r="L279" s="282"/>
      <c r="M279" s="265"/>
      <c r="N279" s="302" t="str">
        <f>MID(M279,5,3)</f>
        <v/>
      </c>
      <c r="O279" s="265">
        <v>202203526</v>
      </c>
      <c r="P279" s="271"/>
      <c r="Q279" s="265" t="s">
        <v>146</v>
      </c>
      <c r="R279" s="265" t="s">
        <v>146</v>
      </c>
      <c r="S279" s="265" t="s">
        <v>1561</v>
      </c>
      <c r="T279" s="280" t="str">
        <f>(IF(N279="IPU","INVITACION PUBLICA",(IF(N279="IP-","INVITACION PRIVADA"," "))))</f>
        <v xml:space="preserve"> </v>
      </c>
      <c r="U279" s="269" t="s">
        <v>206</v>
      </c>
      <c r="V279" s="285">
        <v>44700</v>
      </c>
      <c r="W279" s="303" t="e">
        <f>+$D$4-E279</f>
        <v>#VALUE!</v>
      </c>
      <c r="X279" s="303" t="e">
        <f>$D$4-V279</f>
        <v>#VALUE!</v>
      </c>
      <c r="Y279" s="265" t="s">
        <v>1300</v>
      </c>
      <c r="Z279" s="265" t="s">
        <v>2055</v>
      </c>
      <c r="AA279" s="265" t="s">
        <v>153</v>
      </c>
      <c r="AB279" s="265"/>
      <c r="AC279" s="304"/>
      <c r="AD279" s="272">
        <v>44719</v>
      </c>
      <c r="AE279" s="265"/>
      <c r="AF279" s="305" t="str">
        <f>+IF(AD279="","",TEXT(AD279,"mmm"))</f>
        <v>jun</v>
      </c>
      <c r="AG279" s="306">
        <f t="shared" si="103"/>
        <v>29</v>
      </c>
      <c r="AH279" s="307">
        <f t="shared" si="104"/>
        <v>19</v>
      </c>
      <c r="AI279" s="265"/>
      <c r="AJ279" s="265" t="s">
        <v>171</v>
      </c>
      <c r="AK279" s="265"/>
      <c r="AL279" s="265"/>
      <c r="AM279" s="265"/>
      <c r="AN279" s="309"/>
      <c r="AO279" s="269"/>
      <c r="AP279" s="265"/>
      <c r="AQ279" s="309"/>
      <c r="AR279" s="289"/>
      <c r="AS279" s="269"/>
      <c r="AT279" s="265"/>
      <c r="AU279" s="260"/>
      <c r="AV279" s="260"/>
      <c r="AW279" s="200"/>
      <c r="AX279" s="200"/>
      <c r="AY279" s="200"/>
      <c r="AZ279" s="139">
        <f t="shared" si="113"/>
        <v>0</v>
      </c>
      <c r="BA279" s="200"/>
      <c r="BB279" s="200"/>
      <c r="BC279" s="3"/>
      <c r="BD279" s="95"/>
      <c r="BE279" s="2"/>
    </row>
    <row r="280" spans="2:58" ht="43.9" customHeight="1" x14ac:dyDescent="0.25">
      <c r="B280" s="100">
        <f t="shared" si="110"/>
        <v>262</v>
      </c>
      <c r="C280" s="110" t="s">
        <v>1950</v>
      </c>
      <c r="D280" s="99" t="s">
        <v>32</v>
      </c>
      <c r="E280" s="140">
        <v>44690</v>
      </c>
      <c r="F280" s="268" t="s">
        <v>4435</v>
      </c>
      <c r="G280" s="96" t="s">
        <v>1951</v>
      </c>
      <c r="H280" s="96" t="s">
        <v>1952</v>
      </c>
      <c r="I280" s="96" t="s">
        <v>2369</v>
      </c>
      <c r="J280" s="133" t="s">
        <v>1953</v>
      </c>
      <c r="K280" s="341">
        <v>151903500</v>
      </c>
      <c r="L280" s="138"/>
      <c r="M280" s="99" t="s">
        <v>146</v>
      </c>
      <c r="N280" s="99"/>
      <c r="O280" s="99">
        <v>202203896</v>
      </c>
      <c r="P280" s="173"/>
      <c r="Q280" s="96" t="s">
        <v>146</v>
      </c>
      <c r="R280" s="96" t="s">
        <v>146</v>
      </c>
      <c r="S280" s="99" t="s">
        <v>146</v>
      </c>
      <c r="T280" s="96" t="s">
        <v>230</v>
      </c>
      <c r="U280" s="96" t="s">
        <v>35</v>
      </c>
      <c r="V280" s="97">
        <v>44690</v>
      </c>
      <c r="W280" s="166" t="e">
        <f>+#REF!-E280</f>
        <v>#REF!</v>
      </c>
      <c r="X280" s="166" t="e">
        <f>#REF!-V280</f>
        <v>#REF!</v>
      </c>
      <c r="Y280" s="99"/>
      <c r="Z280" s="96" t="s">
        <v>168</v>
      </c>
      <c r="AA280" s="96" t="s">
        <v>169</v>
      </c>
      <c r="AB280" s="96" t="s">
        <v>1954</v>
      </c>
      <c r="AC280" s="99"/>
      <c r="AD280" s="97">
        <v>44714</v>
      </c>
      <c r="AE280" s="183" t="s">
        <v>4436</v>
      </c>
      <c r="AF280" s="98"/>
      <c r="AG280" s="166">
        <f t="shared" si="103"/>
        <v>24</v>
      </c>
      <c r="AH280" s="166">
        <f t="shared" si="104"/>
        <v>24</v>
      </c>
      <c r="AI280" s="99" t="s">
        <v>146</v>
      </c>
      <c r="AJ280" s="96" t="s">
        <v>171</v>
      </c>
      <c r="AK280" s="99" t="s">
        <v>2370</v>
      </c>
      <c r="AL280" s="97">
        <v>44698</v>
      </c>
      <c r="AM280" s="211">
        <v>144299400</v>
      </c>
      <c r="AN280" s="96" t="s">
        <v>1557</v>
      </c>
      <c r="AO280" s="99">
        <v>202205444</v>
      </c>
      <c r="AP280" s="181">
        <f t="shared" ref="AP280" si="114">+K280-AM280</f>
        <v>7604100</v>
      </c>
      <c r="AQ280" s="138"/>
      <c r="AR280" s="138"/>
      <c r="AS280" s="99"/>
      <c r="AT280" s="99"/>
      <c r="AU280" s="138"/>
      <c r="AV280" s="99" t="s">
        <v>1001</v>
      </c>
      <c r="AW280" s="99" t="s">
        <v>175</v>
      </c>
      <c r="AX280" s="99"/>
      <c r="AY280" s="167">
        <f>+AP280/K280</f>
        <v>5.0058754406580495E-2</v>
      </c>
      <c r="AZ280" s="139">
        <f t="shared" si="113"/>
        <v>1</v>
      </c>
      <c r="BA280" s="139">
        <f>IF(T280="Invitación Privada",1,IF(T280="Invitación Pública",2,0))</f>
        <v>0</v>
      </c>
      <c r="BB280" s="132">
        <f>IF(AA280="CONTRATADO",IF(BA280=1,NETWORKDAYS.INTL(E280,AD280,1,[1]FESTIVOS!$B$3:$B$10)-1,AD280-E280))-BD280</f>
        <v>24</v>
      </c>
      <c r="BC280" s="156"/>
      <c r="BD280" s="162"/>
      <c r="BE280" s="163"/>
      <c r="BF280" s="160"/>
    </row>
    <row r="281" spans="2:58" ht="43.9" customHeight="1" x14ac:dyDescent="0.25">
      <c r="B281" s="100">
        <f t="shared" si="110"/>
        <v>263</v>
      </c>
      <c r="C281" s="293" t="s">
        <v>1955</v>
      </c>
      <c r="D281" s="265" t="s">
        <v>359</v>
      </c>
      <c r="E281" s="272">
        <v>44691</v>
      </c>
      <c r="F281" s="268" t="s">
        <v>4435</v>
      </c>
      <c r="G281" s="269" t="s">
        <v>1956</v>
      </c>
      <c r="H281" s="265" t="s">
        <v>1957</v>
      </c>
      <c r="I281" s="265" t="s">
        <v>146</v>
      </c>
      <c r="J281" s="269" t="s">
        <v>1958</v>
      </c>
      <c r="K281" s="342">
        <v>295048440</v>
      </c>
      <c r="L281" s="282"/>
      <c r="M281" s="265" t="s">
        <v>2405</v>
      </c>
      <c r="N281" s="302" t="str">
        <f>MID(M281,5,3)</f>
        <v>IPU</v>
      </c>
      <c r="O281" s="265" t="s">
        <v>1959</v>
      </c>
      <c r="P281" s="271"/>
      <c r="Q281" s="265" t="s">
        <v>146</v>
      </c>
      <c r="R281" s="265" t="s">
        <v>146</v>
      </c>
      <c r="S281" s="265" t="s">
        <v>1561</v>
      </c>
      <c r="T281" s="111" t="s">
        <v>40</v>
      </c>
      <c r="U281" s="269" t="s">
        <v>312</v>
      </c>
      <c r="V281" s="285">
        <v>44699</v>
      </c>
      <c r="W281" s="303" t="e">
        <f>+$D$4-E281</f>
        <v>#VALUE!</v>
      </c>
      <c r="X281" s="303" t="e">
        <f>$D$4-V281</f>
        <v>#VALUE!</v>
      </c>
      <c r="Y281" s="265" t="s">
        <v>1300</v>
      </c>
      <c r="Z281" s="265" t="s">
        <v>152</v>
      </c>
      <c r="AA281" s="265" t="s">
        <v>153</v>
      </c>
      <c r="AB281" s="265"/>
      <c r="AC281" s="304" t="s">
        <v>2406</v>
      </c>
      <c r="AD281" s="272">
        <v>44757</v>
      </c>
      <c r="AE281" s="265"/>
      <c r="AF281" s="305" t="str">
        <f>+IF(AD281="","",TEXT(AD281,"mmm"))</f>
        <v>jul</v>
      </c>
      <c r="AG281" s="306">
        <f t="shared" si="103"/>
        <v>66</v>
      </c>
      <c r="AH281" s="307">
        <f t="shared" si="104"/>
        <v>58</v>
      </c>
      <c r="AI281" s="265"/>
      <c r="AJ281" s="265" t="s">
        <v>171</v>
      </c>
      <c r="AK281" s="265"/>
      <c r="AL281" s="265"/>
      <c r="AM281" s="265"/>
      <c r="AN281" s="309"/>
      <c r="AO281" s="269"/>
      <c r="AP281" s="265"/>
      <c r="AQ281" s="309" t="e">
        <f>+I281-AN281</f>
        <v>#VALUE!</v>
      </c>
      <c r="AR281" s="289"/>
      <c r="AS281" s="269"/>
      <c r="AT281" s="265"/>
      <c r="AU281" s="260"/>
      <c r="AV281" s="260"/>
      <c r="AW281" s="200"/>
      <c r="AX281" s="200"/>
      <c r="AY281" s="200"/>
      <c r="AZ281" s="139">
        <f t="shared" si="113"/>
        <v>0</v>
      </c>
      <c r="BA281" s="200"/>
      <c r="BB281" s="200"/>
      <c r="BC281" s="3"/>
      <c r="BD281" s="95"/>
      <c r="BE281" s="2"/>
    </row>
    <row r="282" spans="2:58" ht="43.9" customHeight="1" x14ac:dyDescent="0.25">
      <c r="B282" s="100">
        <f t="shared" si="110"/>
        <v>264</v>
      </c>
      <c r="C282" s="110" t="s">
        <v>1960</v>
      </c>
      <c r="D282" s="99" t="s">
        <v>28</v>
      </c>
      <c r="E282" s="142">
        <v>44692</v>
      </c>
      <c r="F282" s="268" t="s">
        <v>4435</v>
      </c>
      <c r="G282" s="96" t="s">
        <v>1961</v>
      </c>
      <c r="H282" s="96" t="s">
        <v>1962</v>
      </c>
      <c r="I282" s="96" t="s">
        <v>146</v>
      </c>
      <c r="J282" s="133" t="s">
        <v>1963</v>
      </c>
      <c r="K282" s="343">
        <v>10836638404</v>
      </c>
      <c r="L282" s="96" t="s">
        <v>3409</v>
      </c>
      <c r="M282" s="99" t="s">
        <v>1964</v>
      </c>
      <c r="N282" s="99"/>
      <c r="O282" s="99">
        <v>202201712</v>
      </c>
      <c r="P282" s="169"/>
      <c r="Q282" s="96" t="s">
        <v>3410</v>
      </c>
      <c r="R282" s="180">
        <v>2800000000</v>
      </c>
      <c r="S282" s="99" t="s">
        <v>1560</v>
      </c>
      <c r="T282" s="111" t="s">
        <v>40</v>
      </c>
      <c r="U282" s="96" t="s">
        <v>187</v>
      </c>
      <c r="V282" s="119">
        <v>44693</v>
      </c>
      <c r="W282" s="170">
        <v>126</v>
      </c>
      <c r="X282" s="170">
        <v>125</v>
      </c>
      <c r="Y282" s="99" t="s">
        <v>1317</v>
      </c>
      <c r="Z282" s="96" t="s">
        <v>168</v>
      </c>
      <c r="AA282" s="96" t="s">
        <v>169</v>
      </c>
      <c r="AB282" s="96" t="s">
        <v>3411</v>
      </c>
      <c r="AC282" s="99"/>
      <c r="AD282" s="97">
        <v>44802</v>
      </c>
      <c r="AE282" s="183" t="s">
        <v>4438</v>
      </c>
      <c r="AF282" s="171"/>
      <c r="AG282" s="170">
        <v>110</v>
      </c>
      <c r="AH282" s="144">
        <v>109</v>
      </c>
      <c r="AI282" s="99" t="s">
        <v>146</v>
      </c>
      <c r="AJ282" s="96" t="s">
        <v>171</v>
      </c>
      <c r="AK282" s="99" t="s">
        <v>3412</v>
      </c>
      <c r="AL282" s="97">
        <v>44792</v>
      </c>
      <c r="AM282" s="211">
        <v>10770820097</v>
      </c>
      <c r="AN282" s="96" t="s">
        <v>1758</v>
      </c>
      <c r="AO282" s="99">
        <v>202207861</v>
      </c>
      <c r="AP282" s="181">
        <f t="shared" ref="AP282" si="115">+K282-AM282</f>
        <v>65818307</v>
      </c>
      <c r="AQ282" s="138"/>
      <c r="AR282" s="138"/>
      <c r="AS282" s="99"/>
      <c r="AT282" s="99"/>
      <c r="AU282" s="138"/>
      <c r="AV282" s="99" t="s">
        <v>174</v>
      </c>
      <c r="AW282" s="99" t="s">
        <v>175</v>
      </c>
      <c r="AX282" s="96" t="s">
        <v>2453</v>
      </c>
      <c r="AY282" s="167">
        <f>+AP282/K282</f>
        <v>6.0736830506133033E-3</v>
      </c>
      <c r="AZ282" s="139">
        <f t="shared" si="113"/>
        <v>1</v>
      </c>
      <c r="BA282" s="139">
        <f>IF(T282="Invitación Privada",1,IF(T282="Invitación Pública",2,0))</f>
        <v>2</v>
      </c>
      <c r="BB282" s="132">
        <f>IF(AA282="CONTRATADO",IF(BA282=1,NETWORKDAYS.INTL(E282,AD282,1,[1]FESTIVOS!$B$3:$B$10)-1,AD282-E282))-BD282</f>
        <v>110</v>
      </c>
      <c r="BC282" s="156"/>
      <c r="BD282" s="162"/>
      <c r="BE282" s="163"/>
      <c r="BF282" s="76"/>
    </row>
    <row r="283" spans="2:58" ht="43.9" customHeight="1" x14ac:dyDescent="0.25">
      <c r="B283" s="100">
        <f t="shared" si="110"/>
        <v>265</v>
      </c>
      <c r="C283" s="293" t="s">
        <v>1965</v>
      </c>
      <c r="D283" s="265" t="s">
        <v>28</v>
      </c>
      <c r="E283" s="272">
        <v>44692</v>
      </c>
      <c r="F283" s="268" t="s">
        <v>4435</v>
      </c>
      <c r="G283" s="269" t="s">
        <v>146</v>
      </c>
      <c r="H283" s="265" t="s">
        <v>1966</v>
      </c>
      <c r="I283" s="265" t="s">
        <v>146</v>
      </c>
      <c r="J283" s="269" t="s">
        <v>1967</v>
      </c>
      <c r="K283" s="342"/>
      <c r="L283" s="296"/>
      <c r="M283" s="265"/>
      <c r="N283" s="302" t="str">
        <f>MID(M283,5,3)</f>
        <v/>
      </c>
      <c r="O283" s="265" t="s">
        <v>146</v>
      </c>
      <c r="P283" s="271"/>
      <c r="Q283" s="265" t="s">
        <v>146</v>
      </c>
      <c r="R283" s="265" t="s">
        <v>146</v>
      </c>
      <c r="S283" s="265" t="s">
        <v>146</v>
      </c>
      <c r="T283" s="280" t="str">
        <f>(IF(N283="IPU","INVITACION PUBLICA",(IF(N283="IP-","INVITACION PRIVADA"," "))))</f>
        <v xml:space="preserve"> </v>
      </c>
      <c r="U283" s="269" t="s">
        <v>151</v>
      </c>
      <c r="V283" s="285">
        <v>44692</v>
      </c>
      <c r="W283" s="303" t="e">
        <f>+$D$4-E283</f>
        <v>#VALUE!</v>
      </c>
      <c r="X283" s="303" t="e">
        <f>$D$4-V283</f>
        <v>#VALUE!</v>
      </c>
      <c r="Y283" s="265" t="s">
        <v>1300</v>
      </c>
      <c r="Z283" s="265" t="s">
        <v>2417</v>
      </c>
      <c r="AA283" s="265" t="s">
        <v>215</v>
      </c>
      <c r="AB283" s="265"/>
      <c r="AC283" s="304" t="s">
        <v>2423</v>
      </c>
      <c r="AD283" s="272">
        <v>44782</v>
      </c>
      <c r="AE283" s="272"/>
      <c r="AF283" s="305" t="str">
        <f>+IF(AD283="","",TEXT(AD283,"mmm"))</f>
        <v>ago</v>
      </c>
      <c r="AG283" s="306">
        <f>+AD283-E283</f>
        <v>90</v>
      </c>
      <c r="AH283" s="307">
        <f>+AD283-V283</f>
        <v>90</v>
      </c>
      <c r="AI283" s="265"/>
      <c r="AJ283" s="265" t="s">
        <v>171</v>
      </c>
      <c r="AK283" s="265"/>
      <c r="AL283" s="265"/>
      <c r="AM283" s="309"/>
      <c r="AN283" s="269"/>
      <c r="AO283" s="265"/>
      <c r="AP283" s="309"/>
      <c r="AQ283" s="289"/>
      <c r="AR283" s="269"/>
      <c r="AS283" s="265"/>
      <c r="AT283" s="260"/>
      <c r="AU283" s="260"/>
      <c r="AV283" s="200"/>
      <c r="AW283" s="200"/>
      <c r="AX283" s="200"/>
      <c r="AY283" s="200"/>
      <c r="AZ283" s="139">
        <f t="shared" si="113"/>
        <v>1</v>
      </c>
      <c r="BA283" s="200"/>
      <c r="BB283" s="203"/>
      <c r="BC283" s="95"/>
      <c r="BD283" s="2"/>
      <c r="BE283" s="2"/>
    </row>
    <row r="284" spans="2:58" ht="43.9" customHeight="1" x14ac:dyDescent="0.25">
      <c r="B284" s="100">
        <f t="shared" si="110"/>
        <v>266</v>
      </c>
      <c r="C284" s="110" t="s">
        <v>1968</v>
      </c>
      <c r="D284" s="99" t="s">
        <v>28</v>
      </c>
      <c r="E284" s="142">
        <v>44693</v>
      </c>
      <c r="F284" s="268" t="s">
        <v>4435</v>
      </c>
      <c r="G284" s="96" t="s">
        <v>1969</v>
      </c>
      <c r="H284" s="96" t="s">
        <v>1970</v>
      </c>
      <c r="I284" s="96" t="s">
        <v>146</v>
      </c>
      <c r="J284" s="133" t="s">
        <v>1971</v>
      </c>
      <c r="K284" s="343">
        <v>153986000</v>
      </c>
      <c r="L284" s="99" t="s">
        <v>3062</v>
      </c>
      <c r="M284" s="96" t="s">
        <v>2454</v>
      </c>
      <c r="N284" s="96"/>
      <c r="O284" s="99">
        <v>202203564</v>
      </c>
      <c r="P284" s="169"/>
      <c r="Q284" s="96" t="s">
        <v>146</v>
      </c>
      <c r="R284" s="96" t="s">
        <v>146</v>
      </c>
      <c r="S284" s="99" t="s">
        <v>1561</v>
      </c>
      <c r="T284" s="111" t="s">
        <v>40</v>
      </c>
      <c r="U284" s="96" t="s">
        <v>312</v>
      </c>
      <c r="V284" s="119">
        <v>44694</v>
      </c>
      <c r="W284" s="170">
        <v>125</v>
      </c>
      <c r="X284" s="170">
        <v>124</v>
      </c>
      <c r="Y284" s="99" t="s">
        <v>1317</v>
      </c>
      <c r="Z284" s="96" t="s">
        <v>168</v>
      </c>
      <c r="AA284" s="96" t="s">
        <v>169</v>
      </c>
      <c r="AB284" s="96" t="s">
        <v>2455</v>
      </c>
      <c r="AC284" s="99" t="s">
        <v>2456</v>
      </c>
      <c r="AD284" s="97">
        <v>44795</v>
      </c>
      <c r="AE284" s="183" t="s">
        <v>4438</v>
      </c>
      <c r="AF284" s="171"/>
      <c r="AG284" s="170">
        <v>102</v>
      </c>
      <c r="AH284" s="144">
        <v>101</v>
      </c>
      <c r="AI284" s="99" t="s">
        <v>146</v>
      </c>
      <c r="AJ284" s="96" t="s">
        <v>171</v>
      </c>
      <c r="AK284" s="99" t="s">
        <v>3413</v>
      </c>
      <c r="AL284" s="97">
        <v>44792</v>
      </c>
      <c r="AM284" s="211">
        <v>148519461</v>
      </c>
      <c r="AN284" s="96" t="s">
        <v>3407</v>
      </c>
      <c r="AO284" s="99">
        <v>202207856</v>
      </c>
      <c r="AP284" s="181">
        <f t="shared" ref="AP284" si="116">+K284-AM284</f>
        <v>5466539</v>
      </c>
      <c r="AQ284" s="138"/>
      <c r="AR284" s="138"/>
      <c r="AS284" s="99"/>
      <c r="AT284" s="99"/>
      <c r="AU284" s="138"/>
      <c r="AV284" s="99" t="s">
        <v>174</v>
      </c>
      <c r="AW284" s="99" t="s">
        <v>175</v>
      </c>
      <c r="AX284" s="96" t="s">
        <v>2457</v>
      </c>
      <c r="AY284" s="167">
        <f>+AP284/K284</f>
        <v>3.5500233787487172E-2</v>
      </c>
      <c r="AZ284" s="139">
        <f t="shared" si="113"/>
        <v>1</v>
      </c>
      <c r="BA284" s="139">
        <f>IF(T284="Invitación Privada",1,IF(T284="Invitación Pública",2,0))</f>
        <v>2</v>
      </c>
      <c r="BB284" s="132">
        <f>IF(AA284="CONTRATADO",IF(BA284=1,NETWORKDAYS.INTL(E284,AD284,1,[1]FESTIVOS!$B$3:$B$10)-1,AD284-E284))-BD284</f>
        <v>102</v>
      </c>
      <c r="BC284" s="156"/>
      <c r="BD284" s="162"/>
      <c r="BE284" s="163"/>
      <c r="BF284" s="76"/>
    </row>
    <row r="285" spans="2:58" ht="43.9" customHeight="1" x14ac:dyDescent="0.25">
      <c r="B285" s="100">
        <f t="shared" si="110"/>
        <v>267</v>
      </c>
      <c r="C285" s="293" t="s">
        <v>1972</v>
      </c>
      <c r="D285" s="312" t="s">
        <v>32</v>
      </c>
      <c r="E285" s="272">
        <v>44693</v>
      </c>
      <c r="F285" s="268" t="s">
        <v>4435</v>
      </c>
      <c r="G285" s="269" t="s">
        <v>1973</v>
      </c>
      <c r="H285" s="265" t="s">
        <v>1974</v>
      </c>
      <c r="I285" s="265" t="s">
        <v>146</v>
      </c>
      <c r="J285" s="269" t="s">
        <v>1975</v>
      </c>
      <c r="K285" s="342">
        <v>667336173</v>
      </c>
      <c r="L285" s="282"/>
      <c r="M285" s="295" t="s">
        <v>1976</v>
      </c>
      <c r="N285" s="302" t="str">
        <f>MID(M285,5,3)</f>
        <v>IPU</v>
      </c>
      <c r="O285" s="265">
        <v>202203902</v>
      </c>
      <c r="P285" s="271"/>
      <c r="Q285" s="265" t="s">
        <v>146</v>
      </c>
      <c r="R285" s="265" t="s">
        <v>146</v>
      </c>
      <c r="S285" s="265" t="s">
        <v>1560</v>
      </c>
      <c r="T285" s="111" t="s">
        <v>40</v>
      </c>
      <c r="U285" s="269" t="s">
        <v>187</v>
      </c>
      <c r="V285" s="285">
        <v>44694</v>
      </c>
      <c r="W285" s="303" t="e">
        <f>+$D$4-E285</f>
        <v>#VALUE!</v>
      </c>
      <c r="X285" s="303" t="e">
        <f>$D$4-V285</f>
        <v>#VALUE!</v>
      </c>
      <c r="Y285" s="265" t="s">
        <v>1300</v>
      </c>
      <c r="Z285" s="265" t="s">
        <v>152</v>
      </c>
      <c r="AA285" s="265" t="s">
        <v>153</v>
      </c>
      <c r="AB285" s="265"/>
      <c r="AC285" s="304" t="s">
        <v>2458</v>
      </c>
      <c r="AD285" s="272">
        <v>44760</v>
      </c>
      <c r="AE285" s="265"/>
      <c r="AF285" s="305" t="str">
        <f>+IF(AD285="","",TEXT(AD285,"mmm"))</f>
        <v>jul</v>
      </c>
      <c r="AG285" s="306">
        <f t="shared" ref="AG285:AG306" si="117">+AD285-E285</f>
        <v>67</v>
      </c>
      <c r="AH285" s="307">
        <f t="shared" ref="AH285:AH306" si="118">+AD285-V285</f>
        <v>66</v>
      </c>
      <c r="AI285" s="265"/>
      <c r="AJ285" s="265" t="s">
        <v>171</v>
      </c>
      <c r="AK285" s="265"/>
      <c r="AL285" s="265"/>
      <c r="AM285" s="265"/>
      <c r="AN285" s="309"/>
      <c r="AO285" s="269"/>
      <c r="AP285" s="265"/>
      <c r="AQ285" s="309"/>
      <c r="AR285" s="289"/>
      <c r="AS285" s="269"/>
      <c r="AT285" s="265"/>
      <c r="AU285" s="260"/>
      <c r="AV285" s="260"/>
      <c r="AW285" s="200"/>
      <c r="AX285" s="200"/>
      <c r="AY285" s="200"/>
      <c r="AZ285" s="139">
        <f t="shared" si="113"/>
        <v>1</v>
      </c>
      <c r="BA285" s="200"/>
      <c r="BB285" s="200"/>
      <c r="BC285" s="3"/>
      <c r="BD285" s="95"/>
      <c r="BE285" s="2"/>
      <c r="BF285" s="160"/>
    </row>
    <row r="286" spans="2:58" ht="43.9" customHeight="1" x14ac:dyDescent="0.25">
      <c r="B286" s="100">
        <f t="shared" si="110"/>
        <v>268</v>
      </c>
      <c r="C286" s="293" t="s">
        <v>1977</v>
      </c>
      <c r="D286" s="312" t="s">
        <v>32</v>
      </c>
      <c r="E286" s="272">
        <v>44693</v>
      </c>
      <c r="F286" s="268" t="s">
        <v>4435</v>
      </c>
      <c r="G286" s="269" t="s">
        <v>1978</v>
      </c>
      <c r="H286" s="265" t="s">
        <v>1979</v>
      </c>
      <c r="I286" s="265" t="s">
        <v>146</v>
      </c>
      <c r="J286" s="269" t="s">
        <v>1980</v>
      </c>
      <c r="K286" s="342">
        <v>269000000</v>
      </c>
      <c r="L286" s="282"/>
      <c r="M286" s="265" t="s">
        <v>1981</v>
      </c>
      <c r="N286" s="302" t="str">
        <f>MID(M286,5,3)</f>
        <v>IPU</v>
      </c>
      <c r="O286" s="265">
        <v>202203909</v>
      </c>
      <c r="P286" s="271"/>
      <c r="Q286" s="265" t="s">
        <v>146</v>
      </c>
      <c r="R286" s="265" t="s">
        <v>146</v>
      </c>
      <c r="S286" s="265" t="s">
        <v>1561</v>
      </c>
      <c r="T286" s="111" t="s">
        <v>40</v>
      </c>
      <c r="U286" s="269" t="s">
        <v>1904</v>
      </c>
      <c r="V286" s="285">
        <v>44694</v>
      </c>
      <c r="W286" s="303" t="e">
        <f>+$D$4-E286</f>
        <v>#VALUE!</v>
      </c>
      <c r="X286" s="303" t="e">
        <f>$D$4-V286</f>
        <v>#VALUE!</v>
      </c>
      <c r="Y286" s="265" t="s">
        <v>1300</v>
      </c>
      <c r="Z286" s="265" t="s">
        <v>2055</v>
      </c>
      <c r="AA286" s="265" t="s">
        <v>153</v>
      </c>
      <c r="AB286" s="265"/>
      <c r="AC286" s="304" t="s">
        <v>2071</v>
      </c>
      <c r="AD286" s="272">
        <v>44720</v>
      </c>
      <c r="AE286" s="272"/>
      <c r="AF286" s="305" t="str">
        <f>+IF(AD286="","",TEXT(AD286,"mmm"))</f>
        <v>jun</v>
      </c>
      <c r="AG286" s="306">
        <f t="shared" si="117"/>
        <v>27</v>
      </c>
      <c r="AH286" s="307">
        <f t="shared" si="118"/>
        <v>26</v>
      </c>
      <c r="AI286" s="265" t="s">
        <v>258</v>
      </c>
      <c r="AJ286" s="265" t="s">
        <v>155</v>
      </c>
      <c r="AK286" s="265"/>
      <c r="AL286" s="265"/>
      <c r="AM286" s="265"/>
      <c r="AN286" s="309"/>
      <c r="AO286" s="269"/>
      <c r="AP286" s="265"/>
      <c r="AQ286" s="309"/>
      <c r="AR286" s="289"/>
      <c r="AS286" s="269"/>
      <c r="AT286" s="265"/>
      <c r="AU286" s="260"/>
      <c r="AV286" s="260"/>
      <c r="AW286" s="200"/>
      <c r="AX286" s="200"/>
      <c r="AY286" s="200"/>
      <c r="AZ286" s="139">
        <f t="shared" si="113"/>
        <v>1</v>
      </c>
      <c r="BA286" s="200"/>
      <c r="BB286" s="200"/>
      <c r="BC286" s="3"/>
      <c r="BD286" s="95"/>
      <c r="BE286" s="2"/>
    </row>
    <row r="287" spans="2:58" ht="43.9" customHeight="1" x14ac:dyDescent="0.25">
      <c r="B287" s="100">
        <f t="shared" si="110"/>
        <v>269</v>
      </c>
      <c r="C287" s="293" t="s">
        <v>1982</v>
      </c>
      <c r="D287" s="265" t="s">
        <v>661</v>
      </c>
      <c r="E287" s="272">
        <v>44694</v>
      </c>
      <c r="F287" s="268" t="s">
        <v>4435</v>
      </c>
      <c r="G287" s="269" t="s">
        <v>1983</v>
      </c>
      <c r="H287" s="265" t="s">
        <v>1984</v>
      </c>
      <c r="I287" s="265" t="s">
        <v>146</v>
      </c>
      <c r="J287" s="269" t="s">
        <v>1985</v>
      </c>
      <c r="K287" s="342">
        <v>165300000</v>
      </c>
      <c r="L287" s="282"/>
      <c r="M287" s="265" t="s">
        <v>1986</v>
      </c>
      <c r="N287" s="302" t="str">
        <f>MID(M287,5,3)</f>
        <v>IPU</v>
      </c>
      <c r="O287" s="265">
        <v>202203583</v>
      </c>
      <c r="P287" s="271"/>
      <c r="Q287" s="265" t="s">
        <v>146</v>
      </c>
      <c r="R287" s="265" t="s">
        <v>146</v>
      </c>
      <c r="S287" s="265" t="s">
        <v>1561</v>
      </c>
      <c r="T287" s="111" t="s">
        <v>40</v>
      </c>
      <c r="U287" s="269" t="s">
        <v>312</v>
      </c>
      <c r="V287" s="285">
        <v>44699</v>
      </c>
      <c r="W287" s="303" t="e">
        <f>+$D$4-E287</f>
        <v>#VALUE!</v>
      </c>
      <c r="X287" s="303" t="e">
        <f>$D$4-V287</f>
        <v>#VALUE!</v>
      </c>
      <c r="Y287" s="265" t="s">
        <v>1300</v>
      </c>
      <c r="Z287" s="265" t="s">
        <v>2055</v>
      </c>
      <c r="AA287" s="265" t="s">
        <v>153</v>
      </c>
      <c r="AB287" s="265"/>
      <c r="AC287" s="304" t="s">
        <v>2072</v>
      </c>
      <c r="AD287" s="272">
        <v>44720</v>
      </c>
      <c r="AE287" s="265"/>
      <c r="AF287" s="305" t="str">
        <f>+IF(AD287="","",TEXT(AD287,"mmm"))</f>
        <v>jun</v>
      </c>
      <c r="AG287" s="306">
        <f t="shared" si="117"/>
        <v>26</v>
      </c>
      <c r="AH287" s="307">
        <f t="shared" si="118"/>
        <v>21</v>
      </c>
      <c r="AI287" s="265"/>
      <c r="AJ287" s="265" t="s">
        <v>171</v>
      </c>
      <c r="AK287" s="265"/>
      <c r="AL287" s="265"/>
      <c r="AM287" s="265"/>
      <c r="AN287" s="309"/>
      <c r="AO287" s="269"/>
      <c r="AP287" s="265"/>
      <c r="AQ287" s="309"/>
      <c r="AR287" s="289"/>
      <c r="AS287" s="269"/>
      <c r="AT287" s="265"/>
      <c r="AU287" s="260"/>
      <c r="AV287" s="260"/>
      <c r="AW287" s="200"/>
      <c r="AX287" s="200"/>
      <c r="AY287" s="200"/>
      <c r="AZ287" s="139">
        <f t="shared" si="113"/>
        <v>0</v>
      </c>
      <c r="BA287" s="200"/>
      <c r="BB287" s="200"/>
      <c r="BC287" s="3"/>
      <c r="BD287" s="95"/>
      <c r="BE287" s="2"/>
    </row>
    <row r="288" spans="2:58" ht="43.9" customHeight="1" x14ac:dyDescent="0.25">
      <c r="B288" s="100">
        <f t="shared" si="110"/>
        <v>270</v>
      </c>
      <c r="C288" s="110" t="s">
        <v>1987</v>
      </c>
      <c r="D288" s="99" t="s">
        <v>28</v>
      </c>
      <c r="E288" s="142">
        <v>44697</v>
      </c>
      <c r="F288" s="268" t="s">
        <v>4435</v>
      </c>
      <c r="G288" s="143" t="s">
        <v>255</v>
      </c>
      <c r="H288" s="96" t="s">
        <v>1276</v>
      </c>
      <c r="I288" s="96" t="s">
        <v>146</v>
      </c>
      <c r="J288" s="133" t="s">
        <v>1277</v>
      </c>
      <c r="K288" s="343">
        <v>3058210890</v>
      </c>
      <c r="L288" s="99" t="s">
        <v>2514</v>
      </c>
      <c r="M288" s="149" t="s">
        <v>1988</v>
      </c>
      <c r="N288" s="149"/>
      <c r="O288" s="99">
        <v>202202189</v>
      </c>
      <c r="P288" s="168">
        <v>3058210890</v>
      </c>
      <c r="Q288" s="96" t="s">
        <v>146</v>
      </c>
      <c r="R288" s="96" t="s">
        <v>146</v>
      </c>
      <c r="S288" s="99" t="s">
        <v>1560</v>
      </c>
      <c r="T288" s="111" t="s">
        <v>40</v>
      </c>
      <c r="U288" s="111" t="s">
        <v>187</v>
      </c>
      <c r="V288" s="119">
        <v>44697</v>
      </c>
      <c r="W288" s="170">
        <f>+$D$2-E288</f>
        <v>-44697</v>
      </c>
      <c r="X288" s="170">
        <f>$D$2-V288</f>
        <v>-44697</v>
      </c>
      <c r="Y288" s="99" t="s">
        <v>1317</v>
      </c>
      <c r="Z288" s="96" t="s">
        <v>168</v>
      </c>
      <c r="AA288" s="96" t="s">
        <v>169</v>
      </c>
      <c r="AB288" s="96" t="s">
        <v>3095</v>
      </c>
      <c r="AC288" s="99"/>
      <c r="AD288" s="119">
        <v>44761</v>
      </c>
      <c r="AE288" s="183" t="s">
        <v>4437</v>
      </c>
      <c r="AF288" s="171"/>
      <c r="AG288" s="170">
        <f t="shared" si="117"/>
        <v>64</v>
      </c>
      <c r="AH288" s="144">
        <f t="shared" si="118"/>
        <v>64</v>
      </c>
      <c r="AI288" s="99" t="s">
        <v>146</v>
      </c>
      <c r="AJ288" s="96" t="s">
        <v>155</v>
      </c>
      <c r="AK288" s="99" t="s">
        <v>3096</v>
      </c>
      <c r="AL288" s="97">
        <v>44767</v>
      </c>
      <c r="AM288" s="211">
        <v>3056537055</v>
      </c>
      <c r="AN288" s="96" t="s">
        <v>3088</v>
      </c>
      <c r="AO288" s="99">
        <v>202207239</v>
      </c>
      <c r="AP288" s="181">
        <f t="shared" ref="AP288" si="119">+K288-AM288</f>
        <v>1673835</v>
      </c>
      <c r="AQ288" s="138"/>
      <c r="AR288" s="138"/>
      <c r="AS288" s="99"/>
      <c r="AT288" s="138"/>
      <c r="AU288" s="138"/>
      <c r="AV288" s="96" t="s">
        <v>174</v>
      </c>
      <c r="AW288" s="99" t="s">
        <v>175</v>
      </c>
      <c r="AX288" s="96" t="s">
        <v>2379</v>
      </c>
      <c r="AY288" s="167">
        <f>+AP288/K288</f>
        <v>5.4732490995740323E-4</v>
      </c>
      <c r="AZ288" s="139">
        <f t="shared" si="113"/>
        <v>1</v>
      </c>
      <c r="BA288" s="139">
        <f>IF(T288="Invitación Privada",1,IF(T288="Invitación Pública",2,0))</f>
        <v>2</v>
      </c>
      <c r="BB288" s="132">
        <f>IF(AA288="CONTRATADO",IF(BA288=1,NETWORKDAYS.INTL(E288,AD288,1,[1]FESTIVOS!$B$3:$B$10)-1,AD288-E288))-BD288</f>
        <v>64</v>
      </c>
      <c r="BC288" s="156"/>
      <c r="BD288" s="162"/>
      <c r="BE288" s="163"/>
      <c r="BF288" s="76"/>
    </row>
    <row r="289" spans="2:58" ht="43.9" customHeight="1" x14ac:dyDescent="0.25">
      <c r="B289" s="100">
        <f t="shared" si="110"/>
        <v>271</v>
      </c>
      <c r="C289" s="293" t="s">
        <v>1989</v>
      </c>
      <c r="D289" s="265" t="s">
        <v>28</v>
      </c>
      <c r="E289" s="272">
        <v>44698</v>
      </c>
      <c r="F289" s="268" t="s">
        <v>4435</v>
      </c>
      <c r="G289" s="269" t="s">
        <v>1990</v>
      </c>
      <c r="H289" s="265" t="s">
        <v>1991</v>
      </c>
      <c r="I289" s="265" t="s">
        <v>146</v>
      </c>
      <c r="J289" s="269" t="s">
        <v>1992</v>
      </c>
      <c r="K289" s="342">
        <v>170109720</v>
      </c>
      <c r="L289" s="282"/>
      <c r="M289" s="265" t="s">
        <v>2000</v>
      </c>
      <c r="N289" s="302" t="str">
        <f>MID(M289,5,3)</f>
        <v>IPU</v>
      </c>
      <c r="O289" s="265">
        <v>202201832</v>
      </c>
      <c r="P289" s="271"/>
      <c r="Q289" s="265" t="s">
        <v>146</v>
      </c>
      <c r="R289" s="265" t="s">
        <v>146</v>
      </c>
      <c r="S289" s="265" t="s">
        <v>1561</v>
      </c>
      <c r="T289" s="111" t="s">
        <v>40</v>
      </c>
      <c r="U289" s="269" t="s">
        <v>452</v>
      </c>
      <c r="V289" s="285">
        <v>44699</v>
      </c>
      <c r="W289" s="303" t="e">
        <f>+$D$4-E289</f>
        <v>#VALUE!</v>
      </c>
      <c r="X289" s="303" t="e">
        <f>$D$4-V289</f>
        <v>#VALUE!</v>
      </c>
      <c r="Y289" s="265" t="s">
        <v>1300</v>
      </c>
      <c r="Z289" s="265" t="s">
        <v>2055</v>
      </c>
      <c r="AA289" s="265" t="s">
        <v>153</v>
      </c>
      <c r="AB289" s="265"/>
      <c r="AC289" s="304" t="s">
        <v>2073</v>
      </c>
      <c r="AD289" s="272">
        <v>44706</v>
      </c>
      <c r="AE289" s="265"/>
      <c r="AF289" s="305" t="str">
        <f>+IF(AD289="","",TEXT(AD289,"mmm"))</f>
        <v>may</v>
      </c>
      <c r="AG289" s="306">
        <f t="shared" si="117"/>
        <v>8</v>
      </c>
      <c r="AH289" s="307">
        <f t="shared" si="118"/>
        <v>7</v>
      </c>
      <c r="AI289" s="265"/>
      <c r="AJ289" s="265" t="s">
        <v>171</v>
      </c>
      <c r="AK289" s="265"/>
      <c r="AL289" s="265"/>
      <c r="AM289" s="265"/>
      <c r="AN289" s="309"/>
      <c r="AO289" s="269"/>
      <c r="AP289" s="265"/>
      <c r="AQ289" s="309"/>
      <c r="AR289" s="289"/>
      <c r="AS289" s="269"/>
      <c r="AT289" s="265"/>
      <c r="AU289" s="260"/>
      <c r="AV289" s="260"/>
      <c r="AW289" s="200"/>
      <c r="AX289" s="200"/>
      <c r="AY289" s="200"/>
      <c r="AZ289" s="139">
        <f t="shared" si="113"/>
        <v>1</v>
      </c>
      <c r="BA289" s="200"/>
      <c r="BB289" s="200"/>
      <c r="BC289" s="3"/>
      <c r="BD289" s="95"/>
      <c r="BE289" s="2"/>
    </row>
    <row r="290" spans="2:58" ht="43.9" customHeight="1" x14ac:dyDescent="0.25">
      <c r="B290" s="100">
        <f t="shared" si="110"/>
        <v>272</v>
      </c>
      <c r="C290" s="110" t="s">
        <v>1993</v>
      </c>
      <c r="D290" s="99" t="s">
        <v>32</v>
      </c>
      <c r="E290" s="142">
        <v>44700</v>
      </c>
      <c r="F290" s="268" t="s">
        <v>4435</v>
      </c>
      <c r="G290" s="96" t="s">
        <v>1973</v>
      </c>
      <c r="H290" s="96" t="s">
        <v>1994</v>
      </c>
      <c r="I290" s="96" t="s">
        <v>146</v>
      </c>
      <c r="J290" s="133" t="s">
        <v>1995</v>
      </c>
      <c r="K290" s="343">
        <v>51600000</v>
      </c>
      <c r="L290" s="99" t="s">
        <v>253</v>
      </c>
      <c r="M290" s="99" t="s">
        <v>2091</v>
      </c>
      <c r="N290" s="99"/>
      <c r="O290" s="99">
        <v>202203997</v>
      </c>
      <c r="P290" s="168">
        <v>51600000</v>
      </c>
      <c r="Q290" s="96" t="s">
        <v>146</v>
      </c>
      <c r="R290" s="96" t="s">
        <v>146</v>
      </c>
      <c r="S290" s="99" t="s">
        <v>1561</v>
      </c>
      <c r="T290" s="111" t="s">
        <v>43</v>
      </c>
      <c r="U290" s="96" t="s">
        <v>364</v>
      </c>
      <c r="V290" s="142">
        <v>44700</v>
      </c>
      <c r="W290" s="170">
        <f>+$D$2-E290</f>
        <v>-44700</v>
      </c>
      <c r="X290" s="170">
        <f>$D$2-V290</f>
        <v>-44700</v>
      </c>
      <c r="Y290" s="99" t="s">
        <v>1317</v>
      </c>
      <c r="Z290" s="96" t="s">
        <v>168</v>
      </c>
      <c r="AA290" s="96" t="s">
        <v>169</v>
      </c>
      <c r="AB290" s="96" t="s">
        <v>3097</v>
      </c>
      <c r="AC290" s="99"/>
      <c r="AD290" s="119">
        <v>44768</v>
      </c>
      <c r="AE290" s="183" t="s">
        <v>4437</v>
      </c>
      <c r="AF290" s="171"/>
      <c r="AG290" s="170">
        <f t="shared" si="117"/>
        <v>68</v>
      </c>
      <c r="AH290" s="144">
        <f t="shared" si="118"/>
        <v>68</v>
      </c>
      <c r="AI290" s="99" t="s">
        <v>258</v>
      </c>
      <c r="AJ290" s="96" t="s">
        <v>171</v>
      </c>
      <c r="AK290" s="99" t="s">
        <v>3098</v>
      </c>
      <c r="AL290" s="97">
        <v>44750</v>
      </c>
      <c r="AM290" s="211">
        <v>50763020</v>
      </c>
      <c r="AN290" s="96" t="s">
        <v>1084</v>
      </c>
      <c r="AO290" s="99">
        <v>202206981</v>
      </c>
      <c r="AP290" s="181">
        <f t="shared" ref="AP290:AP291" si="120">+K290-AM290</f>
        <v>836980</v>
      </c>
      <c r="AQ290" s="138"/>
      <c r="AR290" s="138"/>
      <c r="AS290" s="99"/>
      <c r="AT290" s="99"/>
      <c r="AU290" s="138"/>
      <c r="AV290" s="99" t="s">
        <v>174</v>
      </c>
      <c r="AW290" s="99" t="s">
        <v>175</v>
      </c>
      <c r="AX290" s="96" t="s">
        <v>3099</v>
      </c>
      <c r="AY290" s="167">
        <f t="shared" ref="AY290:AY291" si="121">+AP290/K290</f>
        <v>1.6220542635658915E-2</v>
      </c>
      <c r="AZ290" s="139">
        <f t="shared" si="113"/>
        <v>1</v>
      </c>
      <c r="BA290" s="139">
        <f>IF(T290="Invitación Privada",1,IF(T290="Invitación Pública",2,0))</f>
        <v>1</v>
      </c>
      <c r="BB290" s="132">
        <f>IF(AA290="CONTRATADO",IF(BA290=1,NETWORKDAYS.INTL(E290,AD290,1,[1]FESTIVOS!$B$3:$B$10)-1,AD290-E290))-BD290</f>
        <v>28</v>
      </c>
      <c r="BC290" s="156"/>
      <c r="BD290" s="162">
        <v>20</v>
      </c>
      <c r="BE290" s="391" t="s">
        <v>3155</v>
      </c>
    </row>
    <row r="291" spans="2:58" ht="43.9" customHeight="1" x14ac:dyDescent="0.25">
      <c r="B291" s="100">
        <f t="shared" si="110"/>
        <v>273</v>
      </c>
      <c r="C291" s="110" t="s">
        <v>1996</v>
      </c>
      <c r="D291" s="99" t="s">
        <v>33</v>
      </c>
      <c r="E291" s="189">
        <v>44700</v>
      </c>
      <c r="F291" s="268" t="s">
        <v>4435</v>
      </c>
      <c r="G291" s="96" t="s">
        <v>1997</v>
      </c>
      <c r="H291" s="96" t="s">
        <v>1998</v>
      </c>
      <c r="I291" s="96" t="s">
        <v>146</v>
      </c>
      <c r="J291" s="96" t="s">
        <v>1999</v>
      </c>
      <c r="K291" s="344">
        <v>3150000000</v>
      </c>
      <c r="L291" s="194" t="s">
        <v>3030</v>
      </c>
      <c r="M291" s="99" t="s">
        <v>3685</v>
      </c>
      <c r="N291" s="99"/>
      <c r="O291" s="99">
        <v>202203854</v>
      </c>
      <c r="P291" s="185"/>
      <c r="Q291" s="96" t="s">
        <v>146</v>
      </c>
      <c r="R291" s="96" t="s">
        <v>146</v>
      </c>
      <c r="S291" s="99" t="s">
        <v>1560</v>
      </c>
      <c r="T291" s="111" t="s">
        <v>40</v>
      </c>
      <c r="U291" s="96" t="s">
        <v>187</v>
      </c>
      <c r="V291" s="192">
        <v>44704</v>
      </c>
      <c r="W291" s="186" t="e">
        <f>+$D$4-E291</f>
        <v>#VALUE!</v>
      </c>
      <c r="X291" s="186" t="e">
        <f>$D$4-V291</f>
        <v>#VALUE!</v>
      </c>
      <c r="Y291" s="99" t="s">
        <v>1317</v>
      </c>
      <c r="Z291" s="96" t="s">
        <v>168</v>
      </c>
      <c r="AA291" s="96" t="s">
        <v>169</v>
      </c>
      <c r="AB291" s="96" t="s">
        <v>2074</v>
      </c>
      <c r="AC291" s="99"/>
      <c r="AD291" s="97">
        <v>44816</v>
      </c>
      <c r="AE291" s="183" t="s">
        <v>4262</v>
      </c>
      <c r="AF291" s="183"/>
      <c r="AG291" s="186">
        <f t="shared" si="117"/>
        <v>116</v>
      </c>
      <c r="AH291" s="187">
        <f t="shared" si="118"/>
        <v>112</v>
      </c>
      <c r="AI291" s="99" t="s">
        <v>2388</v>
      </c>
      <c r="AJ291" s="96" t="s">
        <v>155</v>
      </c>
      <c r="AK291" s="99" t="s">
        <v>3686</v>
      </c>
      <c r="AL291" s="97">
        <v>44810</v>
      </c>
      <c r="AM291" s="209">
        <v>3149999957</v>
      </c>
      <c r="AN291" s="96" t="s">
        <v>3687</v>
      </c>
      <c r="AO291" s="99">
        <v>202208321</v>
      </c>
      <c r="AP291" s="181">
        <f t="shared" si="120"/>
        <v>43</v>
      </c>
      <c r="AQ291" s="193"/>
      <c r="AR291" s="193"/>
      <c r="AS291" s="99"/>
      <c r="AT291" s="99"/>
      <c r="AU291" s="193"/>
      <c r="AV291" s="99" t="s">
        <v>1000</v>
      </c>
      <c r="AW291" s="99" t="s">
        <v>692</v>
      </c>
      <c r="AX291" s="96" t="s">
        <v>2394</v>
      </c>
      <c r="AY291" s="167">
        <f t="shared" si="121"/>
        <v>1.3650793650793651E-8</v>
      </c>
      <c r="AZ291" s="139">
        <f t="shared" si="113"/>
        <v>1</v>
      </c>
      <c r="BA291" s="139">
        <f>IF(T291="Invitación Privada",1,IF(T291="Invitación Pública",2,0))</f>
        <v>2</v>
      </c>
      <c r="BB291" s="132">
        <f>IF(AA291="CONTRATADO",IF(BA291=1,NETWORKDAYS.INTL(E291,AD291,1,[1]FESTIVOS!$B$3:$B$10)-1,AD291-E291))-BD291</f>
        <v>116</v>
      </c>
      <c r="BD291" s="207"/>
      <c r="BE291" s="208"/>
      <c r="BF291" s="156"/>
    </row>
    <row r="292" spans="2:58" ht="43.9" customHeight="1" x14ac:dyDescent="0.25">
      <c r="B292" s="100">
        <f t="shared" si="110"/>
        <v>274</v>
      </c>
      <c r="C292" s="293" t="s">
        <v>2001</v>
      </c>
      <c r="D292" s="312" t="s">
        <v>32</v>
      </c>
      <c r="E292" s="272">
        <v>44700</v>
      </c>
      <c r="F292" s="268" t="s">
        <v>4435</v>
      </c>
      <c r="G292" s="269" t="s">
        <v>3917</v>
      </c>
      <c r="H292" s="265" t="s">
        <v>594</v>
      </c>
      <c r="I292" s="265" t="s">
        <v>146</v>
      </c>
      <c r="J292" s="269" t="s">
        <v>1359</v>
      </c>
      <c r="K292" s="342">
        <v>62492850</v>
      </c>
      <c r="L292" s="282" t="s">
        <v>549</v>
      </c>
      <c r="M292" s="265" t="s">
        <v>2092</v>
      </c>
      <c r="N292" s="302" t="str">
        <f>MID(M292,5,3)</f>
        <v>IPU</v>
      </c>
      <c r="O292" s="265">
        <v>202201684</v>
      </c>
      <c r="P292" s="271"/>
      <c r="Q292" s="265" t="s">
        <v>146</v>
      </c>
      <c r="R292" s="265" t="s">
        <v>146</v>
      </c>
      <c r="S292" s="265" t="s">
        <v>1561</v>
      </c>
      <c r="T292" s="111" t="s">
        <v>40</v>
      </c>
      <c r="U292" s="269" t="s">
        <v>187</v>
      </c>
      <c r="V292" s="285">
        <v>44701</v>
      </c>
      <c r="W292" s="303" t="e">
        <f>+$D$4-E292</f>
        <v>#VALUE!</v>
      </c>
      <c r="X292" s="303" t="e">
        <f>$D$4-V292</f>
        <v>#VALUE!</v>
      </c>
      <c r="Y292" s="265" t="s">
        <v>1300</v>
      </c>
      <c r="Z292" s="265" t="s">
        <v>152</v>
      </c>
      <c r="AA292" s="265" t="s">
        <v>153</v>
      </c>
      <c r="AB292" s="265"/>
      <c r="AC292" s="304" t="s">
        <v>2408</v>
      </c>
      <c r="AD292" s="272">
        <v>44760</v>
      </c>
      <c r="AE292" s="265"/>
      <c r="AF292" s="305" t="str">
        <f>+IF(AD292="","",TEXT(AD292,"mmm"))</f>
        <v>jul</v>
      </c>
      <c r="AG292" s="306">
        <f t="shared" si="117"/>
        <v>60</v>
      </c>
      <c r="AH292" s="307">
        <f t="shared" si="118"/>
        <v>59</v>
      </c>
      <c r="AI292" s="265"/>
      <c r="AJ292" s="265" t="s">
        <v>171</v>
      </c>
      <c r="AK292" s="265"/>
      <c r="AL292" s="265"/>
      <c r="AM292" s="265"/>
      <c r="AN292" s="309"/>
      <c r="AO292" s="269"/>
      <c r="AP292" s="265"/>
      <c r="AQ292" s="309">
        <f>+K292-AN292</f>
        <v>62492850</v>
      </c>
      <c r="AR292" s="289"/>
      <c r="AS292" s="269"/>
      <c r="AT292" s="265"/>
      <c r="AU292" s="260"/>
      <c r="AV292" s="260"/>
      <c r="AW292" s="200"/>
      <c r="AX292" s="200"/>
      <c r="AY292" s="200"/>
      <c r="AZ292" s="139">
        <f t="shared" si="113"/>
        <v>1</v>
      </c>
      <c r="BA292" s="200"/>
      <c r="BB292" s="200"/>
      <c r="BC292" s="3"/>
      <c r="BD292" s="95"/>
      <c r="BE292" s="2"/>
    </row>
    <row r="293" spans="2:58" ht="43.9" customHeight="1" x14ac:dyDescent="0.25">
      <c r="B293" s="100">
        <f t="shared" si="110"/>
        <v>275</v>
      </c>
      <c r="C293" s="293" t="s">
        <v>2002</v>
      </c>
      <c r="D293" s="265" t="s">
        <v>28</v>
      </c>
      <c r="E293" s="272">
        <v>44701</v>
      </c>
      <c r="F293" s="268" t="s">
        <v>4435</v>
      </c>
      <c r="G293" s="269" t="s">
        <v>1569</v>
      </c>
      <c r="H293" s="265" t="s">
        <v>2003</v>
      </c>
      <c r="I293" s="265" t="s">
        <v>146</v>
      </c>
      <c r="J293" s="269" t="s">
        <v>2004</v>
      </c>
      <c r="K293" s="342">
        <v>1310994372</v>
      </c>
      <c r="L293" s="282"/>
      <c r="M293" s="295" t="s">
        <v>2093</v>
      </c>
      <c r="N293" s="302" t="str">
        <f>MID(M293,5,3)</f>
        <v>IPU</v>
      </c>
      <c r="O293" s="265" t="s">
        <v>1572</v>
      </c>
      <c r="P293" s="271"/>
      <c r="Q293" s="265" t="s">
        <v>146</v>
      </c>
      <c r="R293" s="265" t="s">
        <v>146</v>
      </c>
      <c r="S293" s="265" t="s">
        <v>1560</v>
      </c>
      <c r="T293" s="111" t="s">
        <v>40</v>
      </c>
      <c r="U293" s="269" t="s">
        <v>161</v>
      </c>
      <c r="V293" s="285">
        <v>44704</v>
      </c>
      <c r="W293" s="303" t="e">
        <f>+$D$4-E293</f>
        <v>#VALUE!</v>
      </c>
      <c r="X293" s="303" t="e">
        <f>$D$4-V293</f>
        <v>#VALUE!</v>
      </c>
      <c r="Y293" s="265" t="s">
        <v>1300</v>
      </c>
      <c r="Z293" s="265" t="s">
        <v>152</v>
      </c>
      <c r="AA293" s="265" t="s">
        <v>153</v>
      </c>
      <c r="AB293" s="265"/>
      <c r="AC293" s="304" t="s">
        <v>2460</v>
      </c>
      <c r="AD293" s="272">
        <v>44774</v>
      </c>
      <c r="AE293" s="265"/>
      <c r="AF293" s="305" t="str">
        <f>+IF(AD293="","",TEXT(AD293,"mmm"))</f>
        <v>ago</v>
      </c>
      <c r="AG293" s="306">
        <f t="shared" si="117"/>
        <v>73</v>
      </c>
      <c r="AH293" s="307">
        <f t="shared" si="118"/>
        <v>70</v>
      </c>
      <c r="AI293" s="265"/>
      <c r="AJ293" s="265" t="s">
        <v>155</v>
      </c>
      <c r="AK293" s="265"/>
      <c r="AL293" s="265"/>
      <c r="AM293" s="265"/>
      <c r="AN293" s="309"/>
      <c r="AO293" s="269"/>
      <c r="AP293" s="265"/>
      <c r="AQ293" s="309"/>
      <c r="AR293" s="289"/>
      <c r="AS293" s="269"/>
      <c r="AT293" s="265"/>
      <c r="AU293" s="260"/>
      <c r="AV293" s="260"/>
      <c r="AW293" s="200"/>
      <c r="AX293" s="200"/>
      <c r="AY293" s="200"/>
      <c r="AZ293" s="139">
        <f t="shared" si="113"/>
        <v>1</v>
      </c>
      <c r="BA293" s="200"/>
      <c r="BB293" s="200"/>
      <c r="BC293" s="3"/>
      <c r="BD293" s="95"/>
      <c r="BE293" s="2"/>
    </row>
    <row r="294" spans="2:58" ht="43.9" customHeight="1" x14ac:dyDescent="0.25">
      <c r="B294" s="100">
        <f t="shared" si="110"/>
        <v>276</v>
      </c>
      <c r="C294" s="110" t="s">
        <v>2005</v>
      </c>
      <c r="D294" s="99" t="s">
        <v>28</v>
      </c>
      <c r="E294" s="142">
        <v>44706</v>
      </c>
      <c r="F294" s="268" t="s">
        <v>4435</v>
      </c>
      <c r="G294" s="96" t="s">
        <v>2006</v>
      </c>
      <c r="H294" s="96" t="s">
        <v>2007</v>
      </c>
      <c r="I294" s="96" t="s">
        <v>1224</v>
      </c>
      <c r="J294" s="133" t="s">
        <v>1630</v>
      </c>
      <c r="K294" s="348">
        <v>19667819</v>
      </c>
      <c r="L294" s="99" t="s">
        <v>3020</v>
      </c>
      <c r="M294" s="99" t="s">
        <v>146</v>
      </c>
      <c r="N294" s="99"/>
      <c r="O294" s="99">
        <v>202202645</v>
      </c>
      <c r="P294" s="168">
        <v>23404705</v>
      </c>
      <c r="Q294" s="96" t="s">
        <v>146</v>
      </c>
      <c r="R294" s="96" t="s">
        <v>146</v>
      </c>
      <c r="S294" s="99" t="s">
        <v>146</v>
      </c>
      <c r="T294" s="96" t="s">
        <v>230</v>
      </c>
      <c r="U294" s="96" t="s">
        <v>29</v>
      </c>
      <c r="V294" s="119">
        <v>44706</v>
      </c>
      <c r="W294" s="99"/>
      <c r="X294" s="99"/>
      <c r="Y294" s="99" t="s">
        <v>1317</v>
      </c>
      <c r="Z294" s="96" t="s">
        <v>168</v>
      </c>
      <c r="AA294" s="96" t="s">
        <v>169</v>
      </c>
      <c r="AB294" s="96" t="s">
        <v>2094</v>
      </c>
      <c r="AC294" s="99"/>
      <c r="AD294" s="119">
        <v>44757</v>
      </c>
      <c r="AE294" s="183" t="s">
        <v>4437</v>
      </c>
      <c r="AF294" s="171"/>
      <c r="AG294" s="170">
        <f t="shared" si="117"/>
        <v>51</v>
      </c>
      <c r="AH294" s="144">
        <f t="shared" si="118"/>
        <v>51</v>
      </c>
      <c r="AI294" s="99" t="s">
        <v>146</v>
      </c>
      <c r="AJ294" s="96" t="s">
        <v>171</v>
      </c>
      <c r="AK294" s="96" t="s">
        <v>3100</v>
      </c>
      <c r="AL294" s="119">
        <v>44740</v>
      </c>
      <c r="AM294" s="211">
        <v>19355438</v>
      </c>
      <c r="AN294" s="96" t="s">
        <v>2324</v>
      </c>
      <c r="AO294" s="99">
        <v>202205861</v>
      </c>
      <c r="AP294" s="181">
        <f t="shared" ref="AP294:AP299" si="122">+K294-AM294</f>
        <v>312381</v>
      </c>
      <c r="AQ294" s="138"/>
      <c r="AR294" s="138"/>
      <c r="AS294" s="99"/>
      <c r="AT294" s="99"/>
      <c r="AU294" s="138"/>
      <c r="AV294" s="99" t="s">
        <v>174</v>
      </c>
      <c r="AW294" s="99" t="s">
        <v>175</v>
      </c>
      <c r="AX294" s="96" t="s">
        <v>2457</v>
      </c>
      <c r="AY294" s="167">
        <f t="shared" ref="AY294:AY299" si="123">+AP294/K294</f>
        <v>1.5882849033743904E-2</v>
      </c>
      <c r="AZ294" s="139">
        <f t="shared" si="113"/>
        <v>1</v>
      </c>
      <c r="BA294" s="139">
        <f t="shared" ref="BA294:BA299" si="124">IF(T294="Invitación Privada",1,IF(T294="Invitación Pública",2,0))</f>
        <v>0</v>
      </c>
      <c r="BB294" s="132">
        <f>IF(AA294="CONTRATADO",IF(BA294=1,NETWORKDAYS.INTL(E294,AD294,1,[1]FESTIVOS!$B$3:$B$10)-1,AD294-E294))-BD294</f>
        <v>51</v>
      </c>
      <c r="BC294" s="156"/>
      <c r="BD294" s="158"/>
      <c r="BE294" s="159"/>
    </row>
    <row r="295" spans="2:58" ht="43.9" customHeight="1" x14ac:dyDescent="0.25">
      <c r="B295" s="100">
        <f t="shared" si="110"/>
        <v>277</v>
      </c>
      <c r="C295" s="110" t="s">
        <v>2008</v>
      </c>
      <c r="D295" s="99" t="s">
        <v>28</v>
      </c>
      <c r="E295" s="189">
        <v>44706</v>
      </c>
      <c r="F295" s="268" t="s">
        <v>4435</v>
      </c>
      <c r="G295" s="96" t="s">
        <v>2009</v>
      </c>
      <c r="H295" s="96" t="s">
        <v>2010</v>
      </c>
      <c r="I295" s="96" t="s">
        <v>146</v>
      </c>
      <c r="J295" s="96" t="s">
        <v>2011</v>
      </c>
      <c r="K295" s="344">
        <v>113597399</v>
      </c>
      <c r="L295" s="194" t="s">
        <v>228</v>
      </c>
      <c r="M295" s="99" t="s">
        <v>2095</v>
      </c>
      <c r="N295" s="99"/>
      <c r="O295" s="99">
        <v>202203948</v>
      </c>
      <c r="P295" s="190">
        <v>113597399</v>
      </c>
      <c r="Q295" s="96" t="s">
        <v>146</v>
      </c>
      <c r="R295" s="96" t="s">
        <v>146</v>
      </c>
      <c r="S295" s="99" t="s">
        <v>1561</v>
      </c>
      <c r="T295" s="111" t="s">
        <v>43</v>
      </c>
      <c r="U295" s="96" t="s">
        <v>452</v>
      </c>
      <c r="V295" s="189">
        <v>44706</v>
      </c>
      <c r="W295" s="186" t="e">
        <f>+$D$4-E295</f>
        <v>#VALUE!</v>
      </c>
      <c r="X295" s="186" t="e">
        <f>$D$4-V295</f>
        <v>#VALUE!</v>
      </c>
      <c r="Y295" s="99" t="s">
        <v>1317</v>
      </c>
      <c r="Z295" s="96" t="s">
        <v>168</v>
      </c>
      <c r="AA295" s="96" t="s">
        <v>169</v>
      </c>
      <c r="AB295" s="96" t="s">
        <v>2461</v>
      </c>
      <c r="AC295" s="99"/>
      <c r="AD295" s="97">
        <v>44830</v>
      </c>
      <c r="AE295" s="183" t="s">
        <v>4262</v>
      </c>
      <c r="AF295" s="183"/>
      <c r="AG295" s="186">
        <f t="shared" si="117"/>
        <v>124</v>
      </c>
      <c r="AH295" s="187">
        <f t="shared" si="118"/>
        <v>124</v>
      </c>
      <c r="AI295" s="99" t="s">
        <v>258</v>
      </c>
      <c r="AJ295" s="96" t="s">
        <v>171</v>
      </c>
      <c r="AK295" s="99" t="s">
        <v>3688</v>
      </c>
      <c r="AL295" s="97">
        <v>44818</v>
      </c>
      <c r="AM295" s="209">
        <v>112978592</v>
      </c>
      <c r="AN295" s="96" t="s">
        <v>3689</v>
      </c>
      <c r="AO295" s="99">
        <v>202208433</v>
      </c>
      <c r="AP295" s="181">
        <f t="shared" si="122"/>
        <v>618807</v>
      </c>
      <c r="AQ295" s="193"/>
      <c r="AR295" s="193"/>
      <c r="AS295" s="99"/>
      <c r="AT295" s="99"/>
      <c r="AU295" s="193"/>
      <c r="AV295" s="99" t="s">
        <v>174</v>
      </c>
      <c r="AW295" s="99" t="s">
        <v>175</v>
      </c>
      <c r="AX295" s="96" t="s">
        <v>2379</v>
      </c>
      <c r="AY295" s="167">
        <f t="shared" si="123"/>
        <v>5.4473694419711139E-3</v>
      </c>
      <c r="AZ295" s="139">
        <f t="shared" si="113"/>
        <v>1</v>
      </c>
      <c r="BA295" s="139">
        <f t="shared" si="124"/>
        <v>1</v>
      </c>
      <c r="BB295" s="132">
        <f>IF(AA295="CONTRATADO",IF(BA295=1,NETWORKDAYS.INTL(E295,AD295,1,[1]FESTIVOS!$B$3:$B$10)-1,AD295-E295))-BD295</f>
        <v>76</v>
      </c>
      <c r="BD295" s="207">
        <v>12</v>
      </c>
      <c r="BE295" s="208" t="s">
        <v>3886</v>
      </c>
    </row>
    <row r="296" spans="2:58" ht="43.9" customHeight="1" x14ac:dyDescent="0.25">
      <c r="B296" s="100">
        <f t="shared" si="110"/>
        <v>278</v>
      </c>
      <c r="C296" s="110" t="s">
        <v>2012</v>
      </c>
      <c r="D296" s="99" t="s">
        <v>28</v>
      </c>
      <c r="E296" s="142">
        <v>44706</v>
      </c>
      <c r="F296" s="268" t="s">
        <v>4435</v>
      </c>
      <c r="G296" s="96" t="s">
        <v>2013</v>
      </c>
      <c r="H296" s="96" t="s">
        <v>2014</v>
      </c>
      <c r="I296" s="96" t="s">
        <v>1224</v>
      </c>
      <c r="J296" s="133" t="s">
        <v>1630</v>
      </c>
      <c r="K296" s="348">
        <v>50555428</v>
      </c>
      <c r="L296" s="99" t="s">
        <v>3020</v>
      </c>
      <c r="M296" s="99" t="s">
        <v>146</v>
      </c>
      <c r="N296" s="99"/>
      <c r="O296" s="99" t="s">
        <v>2015</v>
      </c>
      <c r="P296" s="168">
        <v>60160959</v>
      </c>
      <c r="Q296" s="96" t="s">
        <v>146</v>
      </c>
      <c r="R296" s="96" t="s">
        <v>146</v>
      </c>
      <c r="S296" s="99" t="s">
        <v>146</v>
      </c>
      <c r="T296" s="96" t="s">
        <v>230</v>
      </c>
      <c r="U296" s="96" t="s">
        <v>29</v>
      </c>
      <c r="V296" s="119">
        <v>44706</v>
      </c>
      <c r="W296" s="170">
        <f>+$D$2-E296</f>
        <v>-44706</v>
      </c>
      <c r="X296" s="170">
        <f>$D$2-V296</f>
        <v>-44706</v>
      </c>
      <c r="Y296" s="96" t="s">
        <v>1317</v>
      </c>
      <c r="Z296" s="96" t="s">
        <v>168</v>
      </c>
      <c r="AA296" s="96" t="s">
        <v>169</v>
      </c>
      <c r="AB296" s="96" t="s">
        <v>2094</v>
      </c>
      <c r="AC296" s="99"/>
      <c r="AD296" s="119">
        <v>44743</v>
      </c>
      <c r="AE296" s="183" t="s">
        <v>4437</v>
      </c>
      <c r="AF296" s="171"/>
      <c r="AG296" s="170">
        <f t="shared" si="117"/>
        <v>37</v>
      </c>
      <c r="AH296" s="144">
        <f t="shared" si="118"/>
        <v>37</v>
      </c>
      <c r="AI296" s="99" t="s">
        <v>146</v>
      </c>
      <c r="AJ296" s="96" t="s">
        <v>171</v>
      </c>
      <c r="AK296" s="96" t="s">
        <v>3101</v>
      </c>
      <c r="AL296" s="119">
        <v>44740</v>
      </c>
      <c r="AM296" s="211">
        <v>37377608</v>
      </c>
      <c r="AN296" s="96" t="s">
        <v>3102</v>
      </c>
      <c r="AO296" s="99">
        <v>202205862</v>
      </c>
      <c r="AP296" s="181">
        <f t="shared" si="122"/>
        <v>13177820</v>
      </c>
      <c r="AQ296" s="138"/>
      <c r="AR296" s="138"/>
      <c r="AS296" s="99"/>
      <c r="AT296" s="99"/>
      <c r="AU296" s="138"/>
      <c r="AV296" s="96" t="s">
        <v>174</v>
      </c>
      <c r="AW296" s="96" t="s">
        <v>175</v>
      </c>
      <c r="AX296" s="96" t="s">
        <v>2457</v>
      </c>
      <c r="AY296" s="167">
        <f t="shared" si="123"/>
        <v>0.26066083349150954</v>
      </c>
      <c r="AZ296" s="139">
        <f t="shared" si="113"/>
        <v>1</v>
      </c>
      <c r="BA296" s="139">
        <f t="shared" si="124"/>
        <v>0</v>
      </c>
      <c r="BB296" s="132">
        <f>IF(AA296="CONTRATADO",IF(BA296=1,NETWORKDAYS.INTL(E296,AD296,1,[1]FESTIVOS!$B$3:$B$10)-1,AD296-E296))-BD296</f>
        <v>37</v>
      </c>
      <c r="BC296" s="156"/>
      <c r="BD296" s="158"/>
      <c r="BE296" s="159"/>
    </row>
    <row r="297" spans="2:58" ht="43.9" customHeight="1" x14ac:dyDescent="0.25">
      <c r="B297" s="100">
        <f t="shared" si="110"/>
        <v>279</v>
      </c>
      <c r="C297" s="110" t="s">
        <v>2016</v>
      </c>
      <c r="D297" s="99" t="s">
        <v>33</v>
      </c>
      <c r="E297" s="142">
        <v>44706</v>
      </c>
      <c r="F297" s="268" t="s">
        <v>4435</v>
      </c>
      <c r="G297" s="96" t="s">
        <v>2017</v>
      </c>
      <c r="H297" s="96" t="s">
        <v>2018</v>
      </c>
      <c r="I297" s="96" t="s">
        <v>226</v>
      </c>
      <c r="J297" s="96" t="s">
        <v>2019</v>
      </c>
      <c r="K297" s="343">
        <v>1074294722</v>
      </c>
      <c r="L297" s="138"/>
      <c r="M297" s="99" t="s">
        <v>146</v>
      </c>
      <c r="N297" s="99"/>
      <c r="O297" s="99" t="s">
        <v>2020</v>
      </c>
      <c r="P297" s="169"/>
      <c r="Q297" s="96" t="s">
        <v>146</v>
      </c>
      <c r="R297" s="96" t="s">
        <v>146</v>
      </c>
      <c r="S297" s="99" t="s">
        <v>146</v>
      </c>
      <c r="T297" s="96" t="s">
        <v>230</v>
      </c>
      <c r="U297" s="96" t="s">
        <v>42</v>
      </c>
      <c r="V297" s="119">
        <v>44706</v>
      </c>
      <c r="W297" s="99"/>
      <c r="X297" s="99"/>
      <c r="Y297" s="99" t="s">
        <v>1317</v>
      </c>
      <c r="Z297" s="96" t="s">
        <v>168</v>
      </c>
      <c r="AA297" s="96" t="s">
        <v>169</v>
      </c>
      <c r="AB297" s="96" t="s">
        <v>2096</v>
      </c>
      <c r="AC297" s="99"/>
      <c r="AD297" s="119">
        <v>44769</v>
      </c>
      <c r="AE297" s="183" t="s">
        <v>4437</v>
      </c>
      <c r="AF297" s="171"/>
      <c r="AG297" s="170">
        <f t="shared" si="117"/>
        <v>63</v>
      </c>
      <c r="AH297" s="144">
        <f t="shared" si="118"/>
        <v>63</v>
      </c>
      <c r="AI297" s="99" t="s">
        <v>146</v>
      </c>
      <c r="AJ297" s="96" t="s">
        <v>171</v>
      </c>
      <c r="AK297" s="96" t="s">
        <v>3103</v>
      </c>
      <c r="AL297" s="97">
        <v>44727</v>
      </c>
      <c r="AM297" s="390">
        <v>1074216927</v>
      </c>
      <c r="AN297" s="96" t="s">
        <v>1557</v>
      </c>
      <c r="AO297" s="99">
        <v>202205804</v>
      </c>
      <c r="AP297" s="181">
        <f t="shared" si="122"/>
        <v>77795</v>
      </c>
      <c r="AQ297" s="138"/>
      <c r="AR297" s="138"/>
      <c r="AS297" s="99"/>
      <c r="AT297" s="99"/>
      <c r="AU297" s="138"/>
      <c r="AV297" s="99" t="s">
        <v>1001</v>
      </c>
      <c r="AW297" s="99" t="s">
        <v>1002</v>
      </c>
      <c r="AX297" s="96" t="s">
        <v>3077</v>
      </c>
      <c r="AY297" s="167">
        <f t="shared" si="123"/>
        <v>7.2414951322827034E-5</v>
      </c>
      <c r="AZ297" s="139">
        <f t="shared" si="113"/>
        <v>1</v>
      </c>
      <c r="BA297" s="139">
        <f t="shared" si="124"/>
        <v>0</v>
      </c>
      <c r="BB297" s="132">
        <f>IF(AA297="CONTRATADO",IF(BA297=1,NETWORKDAYS.INTL(E297,AD297,1,[1]FESTIVOS!$B$3:$B$10)-1,AD297-E297))-BD297</f>
        <v>63</v>
      </c>
      <c r="BC297" s="156"/>
      <c r="BD297" s="162"/>
      <c r="BE297" s="163"/>
    </row>
    <row r="298" spans="2:58" ht="43.9" customHeight="1" x14ac:dyDescent="0.25">
      <c r="B298" s="100">
        <f t="shared" si="110"/>
        <v>280</v>
      </c>
      <c r="C298" s="110" t="s">
        <v>2021</v>
      </c>
      <c r="D298" s="99" t="s">
        <v>28</v>
      </c>
      <c r="E298" s="142">
        <v>44706</v>
      </c>
      <c r="F298" s="268" t="s">
        <v>4435</v>
      </c>
      <c r="G298" s="96" t="s">
        <v>2022</v>
      </c>
      <c r="H298" s="96" t="s">
        <v>2023</v>
      </c>
      <c r="I298" s="96" t="s">
        <v>1764</v>
      </c>
      <c r="J298" s="133" t="s">
        <v>490</v>
      </c>
      <c r="K298" s="348">
        <v>104890000</v>
      </c>
      <c r="L298" s="99" t="s">
        <v>283</v>
      </c>
      <c r="M298" s="99" t="s">
        <v>146</v>
      </c>
      <c r="N298" s="99"/>
      <c r="O298" s="99">
        <v>202202688</v>
      </c>
      <c r="P298" s="168">
        <v>384916406</v>
      </c>
      <c r="Q298" s="96" t="s">
        <v>146</v>
      </c>
      <c r="R298" s="96" t="s">
        <v>146</v>
      </c>
      <c r="S298" s="99" t="s">
        <v>146</v>
      </c>
      <c r="T298" s="96" t="s">
        <v>230</v>
      </c>
      <c r="U298" s="96" t="s">
        <v>29</v>
      </c>
      <c r="V298" s="119">
        <v>44706</v>
      </c>
      <c r="W298" s="142">
        <v>44706</v>
      </c>
      <c r="X298" s="99"/>
      <c r="Y298" s="99" t="s">
        <v>1317</v>
      </c>
      <c r="Z298" s="96" t="s">
        <v>168</v>
      </c>
      <c r="AA298" s="96" t="s">
        <v>169</v>
      </c>
      <c r="AB298" s="96" t="s">
        <v>3104</v>
      </c>
      <c r="AC298" s="99"/>
      <c r="AD298" s="119">
        <v>44753</v>
      </c>
      <c r="AE298" s="183" t="s">
        <v>4437</v>
      </c>
      <c r="AF298" s="171"/>
      <c r="AG298" s="170">
        <f t="shared" si="117"/>
        <v>47</v>
      </c>
      <c r="AH298" s="144">
        <f t="shared" si="118"/>
        <v>47</v>
      </c>
      <c r="AI298" s="99" t="s">
        <v>146</v>
      </c>
      <c r="AJ298" s="96" t="s">
        <v>171</v>
      </c>
      <c r="AK298" s="96" t="s">
        <v>3105</v>
      </c>
      <c r="AL298" s="119">
        <v>44721</v>
      </c>
      <c r="AM298" s="211">
        <v>99620000</v>
      </c>
      <c r="AN298" s="96" t="s">
        <v>1033</v>
      </c>
      <c r="AO298" s="99">
        <v>202205755</v>
      </c>
      <c r="AP298" s="181">
        <f t="shared" si="122"/>
        <v>5270000</v>
      </c>
      <c r="AQ298" s="138"/>
      <c r="AR298" s="138"/>
      <c r="AS298" s="99"/>
      <c r="AT298" s="99"/>
      <c r="AU298" s="138"/>
      <c r="AV298" s="99" t="s">
        <v>1040</v>
      </c>
      <c r="AW298" s="99" t="s">
        <v>692</v>
      </c>
      <c r="AX298" s="96" t="s">
        <v>2513</v>
      </c>
      <c r="AY298" s="167">
        <f t="shared" si="123"/>
        <v>5.0243111831442464E-2</v>
      </c>
      <c r="AZ298" s="139">
        <f t="shared" si="113"/>
        <v>1</v>
      </c>
      <c r="BA298" s="139">
        <f t="shared" si="124"/>
        <v>0</v>
      </c>
      <c r="BB298" s="132">
        <f>IF(AA298="CONTRATADO",IF(BA298=1,NETWORKDAYS.INTL(E298,AD298,1,[1]FESTIVOS!$B$3:$B$10)-1,AD298-E298))-BD298</f>
        <v>47</v>
      </c>
      <c r="BC298" s="156"/>
      <c r="BD298" s="162"/>
      <c r="BE298" s="163"/>
      <c r="BF298" s="160"/>
    </row>
    <row r="299" spans="2:58" ht="43.9" customHeight="1" x14ac:dyDescent="0.25">
      <c r="B299" s="100">
        <f t="shared" si="110"/>
        <v>281</v>
      </c>
      <c r="C299" s="110" t="s">
        <v>2024</v>
      </c>
      <c r="D299" s="99" t="s">
        <v>32</v>
      </c>
      <c r="E299" s="142">
        <v>44706</v>
      </c>
      <c r="F299" s="268" t="s">
        <v>4435</v>
      </c>
      <c r="G299" s="96" t="s">
        <v>2025</v>
      </c>
      <c r="H299" s="96" t="s">
        <v>2026</v>
      </c>
      <c r="I299" s="96" t="s">
        <v>226</v>
      </c>
      <c r="J299" s="96" t="s">
        <v>2027</v>
      </c>
      <c r="K299" s="343">
        <v>2767556225</v>
      </c>
      <c r="L299" s="138"/>
      <c r="M299" s="99" t="s">
        <v>146</v>
      </c>
      <c r="N299" s="99"/>
      <c r="O299" s="99">
        <v>202203966</v>
      </c>
      <c r="P299" s="169"/>
      <c r="Q299" s="96" t="s">
        <v>146</v>
      </c>
      <c r="R299" s="96" t="s">
        <v>146</v>
      </c>
      <c r="S299" s="99" t="s">
        <v>146</v>
      </c>
      <c r="T299" s="96" t="s">
        <v>230</v>
      </c>
      <c r="U299" s="96" t="s">
        <v>42</v>
      </c>
      <c r="V299" s="119">
        <v>44706</v>
      </c>
      <c r="W299" s="99"/>
      <c r="X299" s="99"/>
      <c r="Y299" s="99" t="s">
        <v>1317</v>
      </c>
      <c r="Z299" s="96" t="s">
        <v>168</v>
      </c>
      <c r="AA299" s="96" t="s">
        <v>169</v>
      </c>
      <c r="AB299" s="96" t="s">
        <v>3106</v>
      </c>
      <c r="AC299" s="99"/>
      <c r="AD299" s="119">
        <v>44769</v>
      </c>
      <c r="AE299" s="183" t="s">
        <v>4437</v>
      </c>
      <c r="AF299" s="171"/>
      <c r="AG299" s="170">
        <f t="shared" si="117"/>
        <v>63</v>
      </c>
      <c r="AH299" s="144">
        <f t="shared" si="118"/>
        <v>63</v>
      </c>
      <c r="AI299" s="99" t="s">
        <v>146</v>
      </c>
      <c r="AJ299" s="96" t="s">
        <v>155</v>
      </c>
      <c r="AK299" s="96" t="s">
        <v>3103</v>
      </c>
      <c r="AL299" s="119">
        <v>44727</v>
      </c>
      <c r="AM299" s="210">
        <v>2675952405</v>
      </c>
      <c r="AN299" s="96" t="s">
        <v>1557</v>
      </c>
      <c r="AO299" s="99">
        <v>202205804</v>
      </c>
      <c r="AP299" s="181">
        <f t="shared" si="122"/>
        <v>91603820</v>
      </c>
      <c r="AQ299" s="138"/>
      <c r="AR299" s="138"/>
      <c r="AS299" s="99"/>
      <c r="AT299" s="99"/>
      <c r="AU299" s="138"/>
      <c r="AV299" s="99" t="s">
        <v>1001</v>
      </c>
      <c r="AW299" s="99" t="s">
        <v>1002</v>
      </c>
      <c r="AX299" s="96" t="s">
        <v>3107</v>
      </c>
      <c r="AY299" s="167">
        <f t="shared" si="123"/>
        <v>3.3099172176709796E-2</v>
      </c>
      <c r="AZ299" s="139">
        <f t="shared" si="113"/>
        <v>1</v>
      </c>
      <c r="BA299" s="139">
        <f t="shared" si="124"/>
        <v>0</v>
      </c>
      <c r="BB299" s="132">
        <f>IF(AA299="CONTRATADO",IF(BA299=1,NETWORKDAYS.INTL(E299,AD299,1,[1]FESTIVOS!$B$3:$B$10)-1,AD299-E299))-BD299</f>
        <v>63</v>
      </c>
      <c r="BC299" s="156"/>
      <c r="BD299" s="162"/>
      <c r="BE299" s="163"/>
      <c r="BF299" s="160"/>
    </row>
    <row r="300" spans="2:58" ht="43.9" customHeight="1" x14ac:dyDescent="0.25">
      <c r="B300" s="100">
        <f t="shared" si="110"/>
        <v>282</v>
      </c>
      <c r="C300" s="293" t="s">
        <v>2028</v>
      </c>
      <c r="D300" s="265" t="s">
        <v>28</v>
      </c>
      <c r="E300" s="272">
        <v>44706</v>
      </c>
      <c r="F300" s="268" t="s">
        <v>4435</v>
      </c>
      <c r="G300" s="269" t="s">
        <v>2029</v>
      </c>
      <c r="H300" s="265" t="s">
        <v>2030</v>
      </c>
      <c r="I300" s="265" t="s">
        <v>146</v>
      </c>
      <c r="J300" s="269" t="s">
        <v>2031</v>
      </c>
      <c r="K300" s="342">
        <v>15311303222</v>
      </c>
      <c r="L300" s="282"/>
      <c r="M300" s="295" t="s">
        <v>2097</v>
      </c>
      <c r="N300" s="302" t="str">
        <f>MID(M300,5,3)</f>
        <v>IPU</v>
      </c>
      <c r="O300" s="265">
        <v>202202596</v>
      </c>
      <c r="P300" s="271"/>
      <c r="Q300" s="265" t="s">
        <v>3177</v>
      </c>
      <c r="R300" s="265"/>
      <c r="S300" s="265" t="s">
        <v>1560</v>
      </c>
      <c r="T300" s="111" t="s">
        <v>40</v>
      </c>
      <c r="U300" s="269" t="s">
        <v>187</v>
      </c>
      <c r="V300" s="285">
        <v>44707</v>
      </c>
      <c r="W300" s="303" t="e">
        <f>+$D$4-E300</f>
        <v>#VALUE!</v>
      </c>
      <c r="X300" s="303" t="e">
        <f>$D$4-V300</f>
        <v>#VALUE!</v>
      </c>
      <c r="Y300" s="265" t="s">
        <v>1300</v>
      </c>
      <c r="Z300" s="265" t="s">
        <v>214</v>
      </c>
      <c r="AA300" s="265" t="s">
        <v>215</v>
      </c>
      <c r="AB300" s="272">
        <v>44883</v>
      </c>
      <c r="AC300" s="304" t="s">
        <v>4023</v>
      </c>
      <c r="AD300" s="272">
        <v>44883</v>
      </c>
      <c r="AE300" s="265"/>
      <c r="AF300" s="305" t="str">
        <f>+IF(AD300="","",TEXT(AD300,"mmm"))</f>
        <v>nov</v>
      </c>
      <c r="AG300" s="306">
        <f t="shared" si="117"/>
        <v>177</v>
      </c>
      <c r="AH300" s="307">
        <f t="shared" si="118"/>
        <v>176</v>
      </c>
      <c r="AI300" s="265"/>
      <c r="AJ300" s="265" t="s">
        <v>171</v>
      </c>
      <c r="AK300" s="265"/>
      <c r="AL300" s="265"/>
      <c r="AM300" s="309"/>
      <c r="AN300" s="269"/>
      <c r="AO300" s="265"/>
      <c r="AP300" s="309"/>
      <c r="AQ300" s="289"/>
      <c r="AR300" s="269"/>
      <c r="AS300" s="265"/>
      <c r="AT300" s="260"/>
      <c r="AU300" s="260"/>
      <c r="AV300" s="200"/>
      <c r="AW300" s="200"/>
      <c r="AX300" s="200"/>
      <c r="AY300" s="200"/>
      <c r="AZ300" s="139">
        <f t="shared" si="113"/>
        <v>1</v>
      </c>
      <c r="BA300" s="200"/>
      <c r="BB300" s="203"/>
      <c r="BC300" s="95"/>
      <c r="BD300" s="2"/>
      <c r="BE300" s="2"/>
    </row>
    <row r="301" spans="2:58" ht="43.9" customHeight="1" x14ac:dyDescent="0.25">
      <c r="B301" s="100">
        <f t="shared" si="110"/>
        <v>283</v>
      </c>
      <c r="C301" s="110" t="s">
        <v>2032</v>
      </c>
      <c r="D301" s="99" t="s">
        <v>332</v>
      </c>
      <c r="E301" s="189">
        <v>44707</v>
      </c>
      <c r="F301" s="268" t="s">
        <v>4435</v>
      </c>
      <c r="G301" s="96" t="s">
        <v>2033</v>
      </c>
      <c r="H301" s="96" t="s">
        <v>2034</v>
      </c>
      <c r="I301" s="96" t="s">
        <v>146</v>
      </c>
      <c r="J301" s="96" t="s">
        <v>2035</v>
      </c>
      <c r="K301" s="344">
        <v>5150078869</v>
      </c>
      <c r="L301" s="188" t="s">
        <v>3690</v>
      </c>
      <c r="M301" s="99" t="s">
        <v>3887</v>
      </c>
      <c r="N301" s="99"/>
      <c r="O301" s="99">
        <v>202202744</v>
      </c>
      <c r="P301" s="185">
        <v>2192959537</v>
      </c>
      <c r="Q301" s="188" t="s">
        <v>3178</v>
      </c>
      <c r="R301" s="96" t="s">
        <v>146</v>
      </c>
      <c r="S301" s="99" t="s">
        <v>1560</v>
      </c>
      <c r="T301" s="111" t="s">
        <v>40</v>
      </c>
      <c r="U301" s="96" t="s">
        <v>337</v>
      </c>
      <c r="V301" s="192">
        <v>44712</v>
      </c>
      <c r="W301" s="186" t="e">
        <f>+$D$4-E301</f>
        <v>#VALUE!</v>
      </c>
      <c r="X301" s="186" t="e">
        <f>$D$4-V301</f>
        <v>#VALUE!</v>
      </c>
      <c r="Y301" s="99" t="s">
        <v>1317</v>
      </c>
      <c r="Z301" s="96" t="s">
        <v>168</v>
      </c>
      <c r="AA301" s="96" t="s">
        <v>169</v>
      </c>
      <c r="AB301" s="96" t="s">
        <v>3179</v>
      </c>
      <c r="AC301" s="99"/>
      <c r="AD301" s="97">
        <v>44806</v>
      </c>
      <c r="AE301" s="183" t="s">
        <v>4262</v>
      </c>
      <c r="AF301" s="183"/>
      <c r="AG301" s="186">
        <f t="shared" si="117"/>
        <v>99</v>
      </c>
      <c r="AH301" s="187">
        <f t="shared" si="118"/>
        <v>94</v>
      </c>
      <c r="AI301" s="99" t="s">
        <v>2462</v>
      </c>
      <c r="AJ301" s="96" t="s">
        <v>171</v>
      </c>
      <c r="AK301" s="99" t="s">
        <v>3691</v>
      </c>
      <c r="AL301" s="97">
        <v>44799</v>
      </c>
      <c r="AM301" s="209">
        <v>5148800000</v>
      </c>
      <c r="AN301" s="96" t="s">
        <v>3692</v>
      </c>
      <c r="AO301" s="99">
        <v>202208281</v>
      </c>
      <c r="AP301" s="181">
        <f t="shared" ref="AP301" si="125">+K301-AM301</f>
        <v>1278869</v>
      </c>
      <c r="AQ301" s="193"/>
      <c r="AR301" s="193"/>
      <c r="AS301" s="99"/>
      <c r="AT301" s="99"/>
      <c r="AU301" s="193"/>
      <c r="AV301" s="99" t="s">
        <v>174</v>
      </c>
      <c r="AW301" s="99" t="s">
        <v>175</v>
      </c>
      <c r="AX301" s="96" t="s">
        <v>2385</v>
      </c>
      <c r="AY301" s="167">
        <f>+AP301/K301</f>
        <v>2.483202748016013E-4</v>
      </c>
      <c r="AZ301" s="139">
        <f t="shared" si="113"/>
        <v>0</v>
      </c>
      <c r="BA301" s="139">
        <f>IF(T301="Invitación Privada",1,IF(T301="Invitación Pública",2,0))</f>
        <v>2</v>
      </c>
      <c r="BB301" s="132">
        <f>IF(AA301="CONTRATADO",IF(BA301=1,NETWORKDAYS.INTL(E301,AD301,1,[1]FESTIVOS!$B$3:$B$10)-1,AD301-E301))-BD301</f>
        <v>99</v>
      </c>
      <c r="BD301" s="207"/>
      <c r="BE301" s="208"/>
      <c r="BF301" s="76"/>
    </row>
    <row r="302" spans="2:58" ht="43.9" customHeight="1" x14ac:dyDescent="0.25">
      <c r="B302" s="100">
        <f t="shared" si="110"/>
        <v>284</v>
      </c>
      <c r="C302" s="293" t="s">
        <v>2036</v>
      </c>
      <c r="D302" s="312" t="s">
        <v>32</v>
      </c>
      <c r="E302" s="272">
        <v>44707</v>
      </c>
      <c r="F302" s="268" t="s">
        <v>4435</v>
      </c>
      <c r="G302" s="269" t="s">
        <v>2037</v>
      </c>
      <c r="H302" s="265" t="s">
        <v>2038</v>
      </c>
      <c r="I302" s="265" t="s">
        <v>146</v>
      </c>
      <c r="J302" s="269" t="s">
        <v>2039</v>
      </c>
      <c r="K302" s="342">
        <v>503000000</v>
      </c>
      <c r="L302" s="282"/>
      <c r="M302" s="265" t="s">
        <v>3921</v>
      </c>
      <c r="N302" s="302" t="str">
        <f>MID(M302,5,3)</f>
        <v>IPU</v>
      </c>
      <c r="O302" s="265">
        <v>202203887</v>
      </c>
      <c r="P302" s="271"/>
      <c r="Q302" s="265" t="s">
        <v>146</v>
      </c>
      <c r="R302" s="265" t="s">
        <v>146</v>
      </c>
      <c r="S302" s="265" t="s">
        <v>1560</v>
      </c>
      <c r="T302" s="111" t="s">
        <v>40</v>
      </c>
      <c r="U302" s="269" t="s">
        <v>1904</v>
      </c>
      <c r="V302" s="285">
        <v>44712</v>
      </c>
      <c r="W302" s="303" t="e">
        <f>+$D$4-E302</f>
        <v>#VALUE!</v>
      </c>
      <c r="X302" s="303" t="e">
        <f>$D$4-V302</f>
        <v>#VALUE!</v>
      </c>
      <c r="Y302" s="265" t="s">
        <v>1300</v>
      </c>
      <c r="Z302" s="265" t="s">
        <v>214</v>
      </c>
      <c r="AA302" s="265" t="s">
        <v>215</v>
      </c>
      <c r="AB302" s="265"/>
      <c r="AC302" s="304" t="s">
        <v>2077</v>
      </c>
      <c r="AD302" s="272">
        <v>44720</v>
      </c>
      <c r="AE302" s="265"/>
      <c r="AF302" s="305" t="str">
        <f>+IF(AD302="","",TEXT(AD302,"mmm"))</f>
        <v>jun</v>
      </c>
      <c r="AG302" s="306">
        <f t="shared" si="117"/>
        <v>13</v>
      </c>
      <c r="AH302" s="307">
        <f t="shared" si="118"/>
        <v>8</v>
      </c>
      <c r="AI302" s="265"/>
      <c r="AJ302" s="328" t="s">
        <v>155</v>
      </c>
      <c r="AK302" s="265"/>
      <c r="AL302" s="265"/>
      <c r="AM302" s="309"/>
      <c r="AN302" s="269"/>
      <c r="AO302" s="265"/>
      <c r="AP302" s="309"/>
      <c r="AQ302" s="289"/>
      <c r="AR302" s="269"/>
      <c r="AS302" s="265"/>
      <c r="AT302" s="260"/>
      <c r="AU302" s="260"/>
      <c r="AV302" s="200"/>
      <c r="AW302" s="200"/>
      <c r="AX302" s="200"/>
      <c r="AY302" s="200"/>
      <c r="AZ302" s="139">
        <f t="shared" si="113"/>
        <v>1</v>
      </c>
      <c r="BA302" s="200"/>
      <c r="BB302" s="203"/>
      <c r="BC302" s="95"/>
      <c r="BD302" s="2"/>
      <c r="BE302" s="2"/>
    </row>
    <row r="303" spans="2:58" ht="43.9" customHeight="1" x14ac:dyDescent="0.25">
      <c r="B303" s="100">
        <f t="shared" si="110"/>
        <v>285</v>
      </c>
      <c r="C303" s="110" t="s">
        <v>2040</v>
      </c>
      <c r="D303" s="99" t="s">
        <v>332</v>
      </c>
      <c r="E303" s="142">
        <v>44708</v>
      </c>
      <c r="F303" s="268" t="s">
        <v>4435</v>
      </c>
      <c r="G303" s="96" t="s">
        <v>2041</v>
      </c>
      <c r="H303" s="96" t="s">
        <v>2042</v>
      </c>
      <c r="I303" s="96" t="s">
        <v>1224</v>
      </c>
      <c r="J303" s="133" t="s">
        <v>2043</v>
      </c>
      <c r="K303" s="348">
        <v>8546201</v>
      </c>
      <c r="L303" s="138"/>
      <c r="M303" s="99" t="s">
        <v>146</v>
      </c>
      <c r="N303" s="99"/>
      <c r="O303" s="99">
        <v>202203880</v>
      </c>
      <c r="P303" s="168">
        <v>102000566</v>
      </c>
      <c r="Q303" s="96" t="s">
        <v>146</v>
      </c>
      <c r="R303" s="96" t="s">
        <v>146</v>
      </c>
      <c r="S303" s="99" t="s">
        <v>146</v>
      </c>
      <c r="T303" s="96" t="s">
        <v>230</v>
      </c>
      <c r="U303" s="96" t="s">
        <v>29</v>
      </c>
      <c r="V303" s="119">
        <v>44712</v>
      </c>
      <c r="W303" s="170">
        <f>+$D$2-E303</f>
        <v>-44708</v>
      </c>
      <c r="X303" s="170">
        <f>$D$2-V303</f>
        <v>-44712</v>
      </c>
      <c r="Y303" s="99" t="s">
        <v>1317</v>
      </c>
      <c r="Z303" s="96" t="s">
        <v>168</v>
      </c>
      <c r="AA303" s="96" t="s">
        <v>169</v>
      </c>
      <c r="AB303" s="96" t="s">
        <v>3108</v>
      </c>
      <c r="AC303" s="99"/>
      <c r="AD303" s="97">
        <v>44761</v>
      </c>
      <c r="AE303" s="183" t="s">
        <v>4437</v>
      </c>
      <c r="AF303" s="171"/>
      <c r="AG303" s="170">
        <f t="shared" si="117"/>
        <v>53</v>
      </c>
      <c r="AH303" s="144">
        <f t="shared" si="118"/>
        <v>49</v>
      </c>
      <c r="AI303" s="99" t="s">
        <v>146</v>
      </c>
      <c r="AJ303" s="96" t="s">
        <v>171</v>
      </c>
      <c r="AK303" s="96" t="s">
        <v>3109</v>
      </c>
      <c r="AL303" s="97">
        <v>44757</v>
      </c>
      <c r="AM303" s="211">
        <v>8546201</v>
      </c>
      <c r="AN303" s="96" t="s">
        <v>3110</v>
      </c>
      <c r="AO303" s="99"/>
      <c r="AP303" s="181">
        <f t="shared" ref="AP303" si="126">+K303-AM303</f>
        <v>0</v>
      </c>
      <c r="AQ303" s="138"/>
      <c r="AR303" s="138"/>
      <c r="AS303" s="99"/>
      <c r="AT303" s="99"/>
      <c r="AU303" s="138"/>
      <c r="AV303" s="99"/>
      <c r="AW303" s="99"/>
      <c r="AX303" s="96" t="s">
        <v>2534</v>
      </c>
      <c r="AY303" s="167">
        <f>+AP303/K303</f>
        <v>0</v>
      </c>
      <c r="AZ303" s="139">
        <f t="shared" si="113"/>
        <v>0</v>
      </c>
      <c r="BA303" s="139">
        <f>IF(T303="Invitación Privada",1,IF(T303="Invitación Pública",2,0))</f>
        <v>0</v>
      </c>
      <c r="BB303" s="132">
        <f>IF(AA303="CONTRATADO",IF(BA303=1,NETWORKDAYS.INTL(E303,AD303,1,[1]FESTIVOS!$B$3:$B$10)-1,AD303-E303))-BD303</f>
        <v>53</v>
      </c>
      <c r="BC303" s="156"/>
      <c r="BD303" s="162"/>
      <c r="BE303" s="163"/>
    </row>
    <row r="304" spans="2:58" ht="43.9" customHeight="1" x14ac:dyDescent="0.25">
      <c r="B304" s="100">
        <f t="shared" si="110"/>
        <v>286</v>
      </c>
      <c r="C304" s="293" t="s">
        <v>2044</v>
      </c>
      <c r="D304" s="265" t="s">
        <v>1559</v>
      </c>
      <c r="E304" s="272">
        <v>44712</v>
      </c>
      <c r="F304" s="268" t="s">
        <v>4435</v>
      </c>
      <c r="G304" s="269" t="s">
        <v>2045</v>
      </c>
      <c r="H304" s="265" t="s">
        <v>2046</v>
      </c>
      <c r="I304" s="265" t="s">
        <v>146</v>
      </c>
      <c r="J304" s="269" t="s">
        <v>2047</v>
      </c>
      <c r="K304" s="342">
        <v>1000000000</v>
      </c>
      <c r="L304" s="282"/>
      <c r="M304" s="265" t="s">
        <v>2098</v>
      </c>
      <c r="N304" s="302" t="str">
        <f>MID(M304,5,3)</f>
        <v>IPU</v>
      </c>
      <c r="O304" s="265">
        <v>202203593</v>
      </c>
      <c r="P304" s="271"/>
      <c r="Q304" s="265" t="s">
        <v>146</v>
      </c>
      <c r="R304" s="265" t="s">
        <v>146</v>
      </c>
      <c r="S304" s="265" t="s">
        <v>1560</v>
      </c>
      <c r="T304" s="111" t="s">
        <v>40</v>
      </c>
      <c r="U304" s="269" t="s">
        <v>1904</v>
      </c>
      <c r="V304" s="284">
        <v>44712</v>
      </c>
      <c r="W304" s="303" t="e">
        <f>+$D$4-E304</f>
        <v>#VALUE!</v>
      </c>
      <c r="X304" s="303" t="e">
        <f>$D$4-V304</f>
        <v>#VALUE!</v>
      </c>
      <c r="Y304" s="265" t="s">
        <v>1300</v>
      </c>
      <c r="Z304" s="265" t="s">
        <v>152</v>
      </c>
      <c r="AA304" s="265" t="s">
        <v>153</v>
      </c>
      <c r="AB304" s="265"/>
      <c r="AC304" s="304" t="s">
        <v>2409</v>
      </c>
      <c r="AD304" s="285">
        <v>44761</v>
      </c>
      <c r="AE304" s="285"/>
      <c r="AF304" s="305" t="str">
        <f>+IF(AD304="","",TEXT(AD304,"mmm"))</f>
        <v>jul</v>
      </c>
      <c r="AG304" s="306">
        <f t="shared" si="117"/>
        <v>49</v>
      </c>
      <c r="AH304" s="307">
        <f t="shared" si="118"/>
        <v>49</v>
      </c>
      <c r="AI304" s="265" t="s">
        <v>258</v>
      </c>
      <c r="AJ304" s="265" t="s">
        <v>155</v>
      </c>
      <c r="AK304" s="265"/>
      <c r="AL304" s="265"/>
      <c r="AM304" s="265"/>
      <c r="AN304" s="309"/>
      <c r="AO304" s="269"/>
      <c r="AP304" s="265"/>
      <c r="AQ304" s="309"/>
      <c r="AR304" s="289"/>
      <c r="AS304" s="269"/>
      <c r="AT304" s="265"/>
      <c r="AU304" s="260"/>
      <c r="AV304" s="260"/>
      <c r="AW304" s="200"/>
      <c r="AX304" s="200"/>
      <c r="AY304" s="200"/>
      <c r="AZ304" s="139">
        <f t="shared" si="113"/>
        <v>0</v>
      </c>
      <c r="BA304" s="200"/>
      <c r="BB304" s="200"/>
      <c r="BC304" s="3"/>
      <c r="BD304" s="95"/>
      <c r="BE304" s="2"/>
    </row>
    <row r="305" spans="2:58" ht="43.9" customHeight="1" x14ac:dyDescent="0.25">
      <c r="B305" s="100">
        <f t="shared" si="110"/>
        <v>287</v>
      </c>
      <c r="C305" s="110" t="s">
        <v>2048</v>
      </c>
      <c r="D305" s="99" t="s">
        <v>332</v>
      </c>
      <c r="E305" s="189">
        <v>44712</v>
      </c>
      <c r="F305" s="268" t="s">
        <v>4435</v>
      </c>
      <c r="G305" s="96" t="s">
        <v>2049</v>
      </c>
      <c r="H305" s="96" t="s">
        <v>2050</v>
      </c>
      <c r="I305" s="96" t="s">
        <v>465</v>
      </c>
      <c r="J305" s="96" t="s">
        <v>2051</v>
      </c>
      <c r="K305" s="344">
        <v>50000000</v>
      </c>
      <c r="L305" s="194" t="s">
        <v>3693</v>
      </c>
      <c r="M305" s="194" t="s">
        <v>146</v>
      </c>
      <c r="N305" s="194"/>
      <c r="O305" s="99">
        <v>202203027</v>
      </c>
      <c r="P305" s="185">
        <v>136514969</v>
      </c>
      <c r="Q305" s="96" t="s">
        <v>146</v>
      </c>
      <c r="R305" s="96" t="s">
        <v>146</v>
      </c>
      <c r="S305" s="99" t="s">
        <v>146</v>
      </c>
      <c r="T305" s="96" t="s">
        <v>230</v>
      </c>
      <c r="U305" s="96" t="s">
        <v>42</v>
      </c>
      <c r="V305" s="192">
        <v>44712</v>
      </c>
      <c r="W305" s="186" t="e">
        <f>+$D$4-E305</f>
        <v>#VALUE!</v>
      </c>
      <c r="X305" s="186" t="e">
        <f>$D$4-V305</f>
        <v>#VALUE!</v>
      </c>
      <c r="Y305" s="99" t="s">
        <v>1317</v>
      </c>
      <c r="Z305" s="96" t="s">
        <v>168</v>
      </c>
      <c r="AA305" s="96" t="s">
        <v>169</v>
      </c>
      <c r="AB305" s="96" t="s">
        <v>2078</v>
      </c>
      <c r="AC305" s="99"/>
      <c r="AD305" s="97">
        <v>44824</v>
      </c>
      <c r="AE305" s="183" t="s">
        <v>4262</v>
      </c>
      <c r="AF305" s="183"/>
      <c r="AG305" s="186">
        <f t="shared" si="117"/>
        <v>112</v>
      </c>
      <c r="AH305" s="187">
        <f t="shared" si="118"/>
        <v>112</v>
      </c>
      <c r="AI305" s="99" t="s">
        <v>146</v>
      </c>
      <c r="AJ305" s="96" t="s">
        <v>171</v>
      </c>
      <c r="AK305" s="96" t="s">
        <v>3694</v>
      </c>
      <c r="AL305" s="97">
        <v>44813</v>
      </c>
      <c r="AM305" s="209">
        <v>50000000</v>
      </c>
      <c r="AN305" s="96" t="s">
        <v>3695</v>
      </c>
      <c r="AO305" s="99">
        <v>20228346</v>
      </c>
      <c r="AP305" s="181">
        <f t="shared" ref="AP305:AP309" si="127">+K305-AM305</f>
        <v>0</v>
      </c>
      <c r="AQ305" s="193"/>
      <c r="AR305" s="193"/>
      <c r="AS305" s="99"/>
      <c r="AT305" s="99"/>
      <c r="AU305" s="193"/>
      <c r="AV305" s="99" t="s">
        <v>174</v>
      </c>
      <c r="AW305" s="99" t="s">
        <v>175</v>
      </c>
      <c r="AX305" s="96" t="s">
        <v>2385</v>
      </c>
      <c r="AY305" s="167">
        <f t="shared" ref="AY305:AY309" si="128">+AP305/K305</f>
        <v>0</v>
      </c>
      <c r="AZ305" s="139">
        <f t="shared" si="113"/>
        <v>0</v>
      </c>
      <c r="BA305" s="139">
        <f>IF(T305="Invitación Privada",1,IF(T305="Invitación Pública",2,0))</f>
        <v>0</v>
      </c>
      <c r="BB305" s="132">
        <f>IF(AA305="CONTRATADO",IF(BA305=1,NETWORKDAYS.INTL(E305,AD305,1,[1]FESTIVOS!$B$3:$B$10)-1,AD305-E305))-BD305</f>
        <v>112</v>
      </c>
      <c r="BD305" s="207"/>
      <c r="BE305" s="208"/>
      <c r="BF305" s="160"/>
    </row>
    <row r="306" spans="2:58" ht="43.9" customHeight="1" x14ac:dyDescent="0.25">
      <c r="B306" s="100">
        <f t="shared" si="110"/>
        <v>288</v>
      </c>
      <c r="C306" s="110" t="s">
        <v>2099</v>
      </c>
      <c r="D306" s="99" t="s">
        <v>28</v>
      </c>
      <c r="E306" s="189">
        <v>44715</v>
      </c>
      <c r="F306" s="268" t="s">
        <v>4436</v>
      </c>
      <c r="G306" s="96" t="s">
        <v>2100</v>
      </c>
      <c r="H306" s="96" t="s">
        <v>2101</v>
      </c>
      <c r="I306" s="96" t="s">
        <v>146</v>
      </c>
      <c r="J306" s="96" t="s">
        <v>203</v>
      </c>
      <c r="K306" s="344">
        <v>936000000</v>
      </c>
      <c r="L306" s="194" t="s">
        <v>3696</v>
      </c>
      <c r="M306" s="96" t="s">
        <v>2463</v>
      </c>
      <c r="N306" s="96"/>
      <c r="O306" s="194">
        <v>202205556</v>
      </c>
      <c r="P306" s="185">
        <v>234000000</v>
      </c>
      <c r="Q306" s="188" t="s">
        <v>3166</v>
      </c>
      <c r="R306" s="96"/>
      <c r="S306" s="99" t="s">
        <v>1560</v>
      </c>
      <c r="T306" s="111" t="s">
        <v>43</v>
      </c>
      <c r="U306" s="96" t="s">
        <v>312</v>
      </c>
      <c r="V306" s="192">
        <v>44717</v>
      </c>
      <c r="W306" s="186" t="e">
        <f>+$D$4-E306</f>
        <v>#VALUE!</v>
      </c>
      <c r="X306" s="186" t="e">
        <f>$D$4-V306</f>
        <v>#VALUE!</v>
      </c>
      <c r="Y306" s="99" t="s">
        <v>1317</v>
      </c>
      <c r="Z306" s="99" t="s">
        <v>168</v>
      </c>
      <c r="AA306" s="99" t="s">
        <v>169</v>
      </c>
      <c r="AB306" s="96" t="s">
        <v>3180</v>
      </c>
      <c r="AC306" s="99"/>
      <c r="AD306" s="97">
        <v>44817</v>
      </c>
      <c r="AE306" s="183" t="s">
        <v>4262</v>
      </c>
      <c r="AF306" s="183"/>
      <c r="AG306" s="186">
        <f t="shared" si="117"/>
        <v>102</v>
      </c>
      <c r="AH306" s="187">
        <f t="shared" si="118"/>
        <v>100</v>
      </c>
      <c r="AI306" s="99" t="s">
        <v>2388</v>
      </c>
      <c r="AJ306" s="96" t="s">
        <v>155</v>
      </c>
      <c r="AK306" s="99" t="s">
        <v>3697</v>
      </c>
      <c r="AL306" s="97">
        <v>44796</v>
      </c>
      <c r="AM306" s="209">
        <v>933414559</v>
      </c>
      <c r="AN306" s="96" t="s">
        <v>3698</v>
      </c>
      <c r="AO306" s="99"/>
      <c r="AP306" s="181">
        <f t="shared" si="127"/>
        <v>2585441</v>
      </c>
      <c r="AQ306" s="193"/>
      <c r="AR306" s="193"/>
      <c r="AS306" s="99"/>
      <c r="AT306" s="99"/>
      <c r="AU306" s="193"/>
      <c r="AV306" s="99"/>
      <c r="AW306" s="99"/>
      <c r="AX306" s="96" t="s">
        <v>2393</v>
      </c>
      <c r="AY306" s="167">
        <f t="shared" si="128"/>
        <v>2.7622232905982905E-3</v>
      </c>
      <c r="AZ306" s="139">
        <f t="shared" si="113"/>
        <v>1</v>
      </c>
      <c r="BA306" s="139">
        <f>IF(T306="Invitación Privada",1,IF(T306="Invitación Pública",2,0))</f>
        <v>1</v>
      </c>
      <c r="BB306" s="132">
        <f>IF(AA306="CONTRATADO",IF(BA306=1,NETWORKDAYS.INTL(E306,AD306,1,[1]FESTIVOS!$B$3:$B$10)-1,AD306-E306))-BD306</f>
        <v>54</v>
      </c>
      <c r="BD306" s="207">
        <v>18</v>
      </c>
      <c r="BE306" s="208" t="s">
        <v>3904</v>
      </c>
    </row>
    <row r="307" spans="2:58" ht="43.9" customHeight="1" x14ac:dyDescent="0.25">
      <c r="B307" s="100">
        <f t="shared" si="110"/>
        <v>289</v>
      </c>
      <c r="C307" s="110" t="s">
        <v>2102</v>
      </c>
      <c r="D307" s="99" t="s">
        <v>32</v>
      </c>
      <c r="E307" s="142">
        <v>44718</v>
      </c>
      <c r="F307" s="268" t="s">
        <v>4436</v>
      </c>
      <c r="G307" s="96" t="s">
        <v>2103</v>
      </c>
      <c r="H307" s="96" t="s">
        <v>2104</v>
      </c>
      <c r="I307" s="96" t="s">
        <v>146</v>
      </c>
      <c r="J307" s="133" t="s">
        <v>2039</v>
      </c>
      <c r="K307" s="343">
        <v>620390555</v>
      </c>
      <c r="L307" s="138"/>
      <c r="M307" s="96" t="s">
        <v>3508</v>
      </c>
      <c r="N307" s="96"/>
      <c r="O307" s="99">
        <v>202204349</v>
      </c>
      <c r="P307" s="169"/>
      <c r="Q307" s="96" t="s">
        <v>146</v>
      </c>
      <c r="R307" s="96" t="s">
        <v>146</v>
      </c>
      <c r="S307" s="99" t="s">
        <v>1560</v>
      </c>
      <c r="T307" s="111" t="s">
        <v>43</v>
      </c>
      <c r="U307" s="96" t="s">
        <v>312</v>
      </c>
      <c r="V307" s="119">
        <v>44718</v>
      </c>
      <c r="W307" s="170">
        <v>100</v>
      </c>
      <c r="X307" s="170">
        <v>100</v>
      </c>
      <c r="Y307" s="99"/>
      <c r="Z307" s="99" t="s">
        <v>168</v>
      </c>
      <c r="AA307" s="99" t="s">
        <v>169</v>
      </c>
      <c r="AB307" s="96" t="s">
        <v>3004</v>
      </c>
      <c r="AC307" s="99"/>
      <c r="AD307" s="119">
        <v>44719</v>
      </c>
      <c r="AE307" s="183" t="s">
        <v>4438</v>
      </c>
      <c r="AF307" s="171"/>
      <c r="AG307" s="170">
        <v>-44718</v>
      </c>
      <c r="AH307" s="144">
        <v>-44718</v>
      </c>
      <c r="AI307" s="99" t="s">
        <v>146</v>
      </c>
      <c r="AJ307" s="96" t="s">
        <v>155</v>
      </c>
      <c r="AK307" s="99" t="s">
        <v>3509</v>
      </c>
      <c r="AL307" s="99"/>
      <c r="AM307" s="215">
        <v>620389554</v>
      </c>
      <c r="AN307" s="96" t="s">
        <v>3510</v>
      </c>
      <c r="AO307" s="99"/>
      <c r="AP307" s="181">
        <f t="shared" si="127"/>
        <v>1001</v>
      </c>
      <c r="AQ307" s="138"/>
      <c r="AR307" s="138"/>
      <c r="AS307" s="99"/>
      <c r="AT307" s="99"/>
      <c r="AU307" s="138"/>
      <c r="AV307" s="99"/>
      <c r="AW307" s="99"/>
      <c r="AX307" s="96" t="s">
        <v>2379</v>
      </c>
      <c r="AY307" s="167">
        <f t="shared" si="128"/>
        <v>1.6134997413040887E-6</v>
      </c>
      <c r="AZ307" s="139">
        <f t="shared" si="113"/>
        <v>1</v>
      </c>
      <c r="BA307" s="139">
        <f>IF(T307="Invitación Privada",1,IF(T307="Invitación Pública",2,0))</f>
        <v>1</v>
      </c>
      <c r="BB307" s="132">
        <f>IF(AA307="CONTRATADO",IF(BA307=1,NETWORKDAYS.INTL(E307,AD307,1,[1]FESTIVOS!$B$3:$B$10)-1,AD307-E307))-BD307</f>
        <v>1</v>
      </c>
      <c r="BC307" s="156"/>
      <c r="BD307" s="162"/>
      <c r="BE307" s="163"/>
    </row>
    <row r="308" spans="2:58" ht="43.9" customHeight="1" x14ac:dyDescent="0.25">
      <c r="B308" s="100">
        <f t="shared" si="110"/>
        <v>290</v>
      </c>
      <c r="C308" s="110" t="s">
        <v>2105</v>
      </c>
      <c r="D308" s="99" t="s">
        <v>32</v>
      </c>
      <c r="E308" s="142">
        <v>44718</v>
      </c>
      <c r="F308" s="268" t="s">
        <v>4436</v>
      </c>
      <c r="G308" s="96" t="s">
        <v>2106</v>
      </c>
      <c r="H308" s="96" t="s">
        <v>2107</v>
      </c>
      <c r="I308" s="96" t="s">
        <v>146</v>
      </c>
      <c r="J308" s="133" t="s">
        <v>2108</v>
      </c>
      <c r="K308" s="343">
        <v>541251633</v>
      </c>
      <c r="L308" s="138"/>
      <c r="M308" s="120" t="s">
        <v>3161</v>
      </c>
      <c r="N308" s="120"/>
      <c r="O308" s="99">
        <v>202204348</v>
      </c>
      <c r="P308" s="169"/>
      <c r="Q308" s="96" t="s">
        <v>146</v>
      </c>
      <c r="R308" s="96" t="s">
        <v>146</v>
      </c>
      <c r="S308" s="99" t="s">
        <v>1560</v>
      </c>
      <c r="T308" s="111" t="s">
        <v>43</v>
      </c>
      <c r="U308" s="96" t="s">
        <v>312</v>
      </c>
      <c r="V308" s="119">
        <v>44718</v>
      </c>
      <c r="W308" s="170">
        <f>+$D$2-E308</f>
        <v>-44718</v>
      </c>
      <c r="X308" s="170">
        <f>$D$2-V308</f>
        <v>-44718</v>
      </c>
      <c r="Y308" s="99" t="s">
        <v>1755</v>
      </c>
      <c r="Z308" s="96" t="s">
        <v>168</v>
      </c>
      <c r="AA308" s="99" t="s">
        <v>169</v>
      </c>
      <c r="AB308" s="96"/>
      <c r="AC308" s="99"/>
      <c r="AD308" s="119">
        <v>44722</v>
      </c>
      <c r="AE308" s="183" t="s">
        <v>4437</v>
      </c>
      <c r="AF308" s="171"/>
      <c r="AG308" s="170">
        <f t="shared" ref="AG308:AG314" si="129">+AD308-E308</f>
        <v>4</v>
      </c>
      <c r="AH308" s="144">
        <f t="shared" ref="AH308:AH314" si="130">+AD308-V308</f>
        <v>4</v>
      </c>
      <c r="AI308" s="99" t="s">
        <v>146</v>
      </c>
      <c r="AJ308" s="96" t="s">
        <v>155</v>
      </c>
      <c r="AK308" s="99" t="s">
        <v>3162</v>
      </c>
      <c r="AL308" s="99"/>
      <c r="AM308" s="211">
        <v>541251633</v>
      </c>
      <c r="AN308" s="96" t="s">
        <v>3163</v>
      </c>
      <c r="AO308" s="99"/>
      <c r="AP308" s="181">
        <f t="shared" si="127"/>
        <v>0</v>
      </c>
      <c r="AQ308" s="138"/>
      <c r="AR308" s="138"/>
      <c r="AS308" s="99"/>
      <c r="AT308" s="99"/>
      <c r="AU308" s="138"/>
      <c r="AV308" s="96"/>
      <c r="AW308" s="99"/>
      <c r="AX308" s="96" t="s">
        <v>2379</v>
      </c>
      <c r="AY308" s="167">
        <f t="shared" si="128"/>
        <v>0</v>
      </c>
      <c r="AZ308" s="139">
        <f t="shared" si="113"/>
        <v>1</v>
      </c>
      <c r="BA308" s="139">
        <f>IF(T308="Invitación Privada",1,IF(T308="Invitación Pública",2,0))</f>
        <v>1</v>
      </c>
      <c r="BB308" s="132">
        <f>IF(AA308="CONTRATADO",IF(BA308=1,NETWORKDAYS.INTL(E308,AD308,1,[1]FESTIVOS!$B$3:$B$10)-1,AD308-E308))-BD308</f>
        <v>4</v>
      </c>
      <c r="BC308" s="156"/>
      <c r="BD308" s="162"/>
      <c r="BE308" s="163"/>
    </row>
    <row r="309" spans="2:58" ht="43.9" customHeight="1" x14ac:dyDescent="0.25">
      <c r="B309" s="100">
        <f t="shared" si="110"/>
        <v>291</v>
      </c>
      <c r="C309" s="110" t="s">
        <v>2109</v>
      </c>
      <c r="D309" s="99" t="s">
        <v>32</v>
      </c>
      <c r="E309" s="142">
        <v>44718</v>
      </c>
      <c r="F309" s="268" t="s">
        <v>4436</v>
      </c>
      <c r="G309" s="96" t="s">
        <v>2110</v>
      </c>
      <c r="H309" s="96" t="s">
        <v>2111</v>
      </c>
      <c r="I309" s="96" t="s">
        <v>226</v>
      </c>
      <c r="J309" s="96" t="s">
        <v>2112</v>
      </c>
      <c r="K309" s="343">
        <v>858588359</v>
      </c>
      <c r="L309" s="99" t="s">
        <v>3013</v>
      </c>
      <c r="M309" s="99" t="s">
        <v>146</v>
      </c>
      <c r="N309" s="99"/>
      <c r="O309" s="99">
        <v>202204240</v>
      </c>
      <c r="P309" s="168">
        <v>858588359</v>
      </c>
      <c r="Q309" s="96" t="s">
        <v>146</v>
      </c>
      <c r="R309" s="96" t="s">
        <v>146</v>
      </c>
      <c r="S309" s="99" t="s">
        <v>146</v>
      </c>
      <c r="T309" s="96" t="s">
        <v>230</v>
      </c>
      <c r="U309" s="96" t="s">
        <v>42</v>
      </c>
      <c r="V309" s="119">
        <v>44718</v>
      </c>
      <c r="W309" s="170">
        <f>+$D$2-E309</f>
        <v>-44718</v>
      </c>
      <c r="X309" s="170">
        <f>$D$2-V309</f>
        <v>-44718</v>
      </c>
      <c r="Y309" s="99" t="s">
        <v>1317</v>
      </c>
      <c r="Z309" s="96" t="s">
        <v>168</v>
      </c>
      <c r="AA309" s="96" t="s">
        <v>169</v>
      </c>
      <c r="AB309" s="96" t="s">
        <v>2113</v>
      </c>
      <c r="AC309" s="99"/>
      <c r="AD309" s="119">
        <v>44769</v>
      </c>
      <c r="AE309" s="183" t="s">
        <v>4437</v>
      </c>
      <c r="AF309" s="171"/>
      <c r="AG309" s="170">
        <f t="shared" si="129"/>
        <v>51</v>
      </c>
      <c r="AH309" s="144">
        <f t="shared" si="130"/>
        <v>51</v>
      </c>
      <c r="AI309" s="99" t="s">
        <v>146</v>
      </c>
      <c r="AJ309" s="96" t="s">
        <v>171</v>
      </c>
      <c r="AK309" s="96" t="s">
        <v>3111</v>
      </c>
      <c r="AL309" s="97">
        <v>44736</v>
      </c>
      <c r="AM309" s="211">
        <v>847397095</v>
      </c>
      <c r="AN309" s="96" t="s">
        <v>1557</v>
      </c>
      <c r="AO309" s="99"/>
      <c r="AP309" s="181">
        <f t="shared" si="127"/>
        <v>11191264</v>
      </c>
      <c r="AQ309" s="138"/>
      <c r="AR309" s="138"/>
      <c r="AS309" s="99"/>
      <c r="AT309" s="99"/>
      <c r="AU309" s="138"/>
      <c r="AV309" s="99" t="s">
        <v>1001</v>
      </c>
      <c r="AW309" s="99" t="s">
        <v>1002</v>
      </c>
      <c r="AX309" s="96" t="s">
        <v>2459</v>
      </c>
      <c r="AY309" s="167">
        <f t="shared" si="128"/>
        <v>1.3034493052100651E-2</v>
      </c>
      <c r="AZ309" s="139">
        <f t="shared" si="113"/>
        <v>1</v>
      </c>
      <c r="BA309" s="139">
        <f>IF(T309="Invitación Privada",1,IF(T309="Invitación Pública",2,0))</f>
        <v>0</v>
      </c>
      <c r="BB309" s="132">
        <f>IF(AA309="CONTRATADO",IF(BA309=1,NETWORKDAYS.INTL(E309,AD309,1,[1]FESTIVOS!$B$3:$B$10)-1,AD309-E309))-BD309</f>
        <v>51</v>
      </c>
      <c r="BC309" s="156"/>
      <c r="BD309" s="158"/>
      <c r="BE309" s="159"/>
      <c r="BF309" s="160"/>
    </row>
    <row r="310" spans="2:58" ht="43.9" customHeight="1" x14ac:dyDescent="0.25">
      <c r="B310" s="100">
        <f t="shared" si="110"/>
        <v>292</v>
      </c>
      <c r="C310" s="293" t="s">
        <v>2114</v>
      </c>
      <c r="D310" s="265" t="s">
        <v>359</v>
      </c>
      <c r="E310" s="272">
        <v>44720</v>
      </c>
      <c r="F310" s="268" t="s">
        <v>4436</v>
      </c>
      <c r="G310" s="287" t="s">
        <v>2115</v>
      </c>
      <c r="H310" s="265" t="s">
        <v>1701</v>
      </c>
      <c r="I310" s="265" t="s">
        <v>146</v>
      </c>
      <c r="J310" s="269" t="s">
        <v>2116</v>
      </c>
      <c r="K310" s="342">
        <v>1240383280</v>
      </c>
      <c r="L310" s="282"/>
      <c r="M310" s="265"/>
      <c r="N310" s="302" t="str">
        <f>MID(M310,5,3)</f>
        <v/>
      </c>
      <c r="O310" s="265" t="s">
        <v>1703</v>
      </c>
      <c r="P310" s="271"/>
      <c r="Q310" s="265" t="s">
        <v>146</v>
      </c>
      <c r="R310" s="265" t="s">
        <v>146</v>
      </c>
      <c r="S310" s="265" t="s">
        <v>1560</v>
      </c>
      <c r="T310" s="280" t="str">
        <f>(IF(N310="IPU","INVITACION PUBLICA",(IF(N310="IP-","INVITACION PRIVADA"," "))))</f>
        <v xml:space="preserve"> </v>
      </c>
      <c r="U310" s="269" t="s">
        <v>206</v>
      </c>
      <c r="V310" s="285">
        <v>44721</v>
      </c>
      <c r="W310" s="303" t="e">
        <f>+$D$4-E310</f>
        <v>#VALUE!</v>
      </c>
      <c r="X310" s="303" t="e">
        <f>$D$4-V310</f>
        <v>#VALUE!</v>
      </c>
      <c r="Y310" s="265" t="s">
        <v>1300</v>
      </c>
      <c r="Z310" s="265" t="s">
        <v>214</v>
      </c>
      <c r="AA310" s="265" t="s">
        <v>215</v>
      </c>
      <c r="AB310" s="265"/>
      <c r="AC310" s="304"/>
      <c r="AD310" s="272">
        <v>44733</v>
      </c>
      <c r="AE310" s="265"/>
      <c r="AF310" s="305" t="str">
        <f>+IF(AD310="","",TEXT(AD310,"mmm"))</f>
        <v>jun</v>
      </c>
      <c r="AG310" s="306">
        <f t="shared" si="129"/>
        <v>13</v>
      </c>
      <c r="AH310" s="307">
        <f t="shared" si="130"/>
        <v>12</v>
      </c>
      <c r="AI310" s="265"/>
      <c r="AJ310" s="265" t="s">
        <v>171</v>
      </c>
      <c r="AK310" s="265"/>
      <c r="AL310" s="265"/>
      <c r="AM310" s="309"/>
      <c r="AN310" s="269"/>
      <c r="AO310" s="265"/>
      <c r="AP310" s="309"/>
      <c r="AQ310" s="289"/>
      <c r="AR310" s="269"/>
      <c r="AS310" s="265"/>
      <c r="AT310" s="260"/>
      <c r="AU310" s="260"/>
      <c r="AV310" s="200"/>
      <c r="AW310" s="200"/>
      <c r="AX310" s="200"/>
      <c r="AY310" s="200"/>
      <c r="AZ310" s="139">
        <f t="shared" si="113"/>
        <v>0</v>
      </c>
      <c r="BA310" s="200"/>
      <c r="BB310" s="203"/>
      <c r="BC310" s="95"/>
      <c r="BD310" s="2"/>
      <c r="BE310" s="2"/>
    </row>
    <row r="311" spans="2:58" ht="43.9" customHeight="1" x14ac:dyDescent="0.25">
      <c r="B311" s="100">
        <f t="shared" si="110"/>
        <v>293</v>
      </c>
      <c r="C311" s="293" t="s">
        <v>2117</v>
      </c>
      <c r="D311" s="312" t="s">
        <v>32</v>
      </c>
      <c r="E311" s="272">
        <v>44733</v>
      </c>
      <c r="F311" s="268" t="s">
        <v>4436</v>
      </c>
      <c r="G311" s="269" t="s">
        <v>3918</v>
      </c>
      <c r="H311" s="265" t="s">
        <v>1979</v>
      </c>
      <c r="I311" s="265" t="s">
        <v>146</v>
      </c>
      <c r="J311" s="269" t="s">
        <v>1980</v>
      </c>
      <c r="K311" s="342">
        <v>269000000</v>
      </c>
      <c r="L311" s="282"/>
      <c r="M311" s="265" t="s">
        <v>2118</v>
      </c>
      <c r="N311" s="302" t="str">
        <f>MID(M311,5,3)</f>
        <v>IP-</v>
      </c>
      <c r="O311" s="265">
        <v>202203909</v>
      </c>
      <c r="P311" s="271"/>
      <c r="Q311" s="265" t="s">
        <v>146</v>
      </c>
      <c r="R311" s="265" t="s">
        <v>146</v>
      </c>
      <c r="S311" s="265" t="s">
        <v>1561</v>
      </c>
      <c r="T311" s="111" t="s">
        <v>43</v>
      </c>
      <c r="U311" s="269" t="s">
        <v>1904</v>
      </c>
      <c r="V311" s="285">
        <v>44733</v>
      </c>
      <c r="W311" s="303" t="e">
        <f>+$D$4-E311</f>
        <v>#VALUE!</v>
      </c>
      <c r="X311" s="303" t="e">
        <f>$D$4-V311</f>
        <v>#VALUE!</v>
      </c>
      <c r="Y311" s="265" t="s">
        <v>1300</v>
      </c>
      <c r="Z311" s="265" t="s">
        <v>152</v>
      </c>
      <c r="AA311" s="265" t="s">
        <v>153</v>
      </c>
      <c r="AB311" s="265"/>
      <c r="AC311" s="304" t="s">
        <v>2410</v>
      </c>
      <c r="AD311" s="285">
        <v>44771</v>
      </c>
      <c r="AE311" s="285"/>
      <c r="AF311" s="305" t="str">
        <f>+IF(AD311="","",TEXT(AD311,"mmm"))</f>
        <v>jul</v>
      </c>
      <c r="AG311" s="306">
        <f t="shared" si="129"/>
        <v>38</v>
      </c>
      <c r="AH311" s="307">
        <f t="shared" si="130"/>
        <v>38</v>
      </c>
      <c r="AI311" s="265" t="s">
        <v>258</v>
      </c>
      <c r="AJ311" s="265" t="s">
        <v>155</v>
      </c>
      <c r="AK311" s="265"/>
      <c r="AL311" s="265"/>
      <c r="AM311" s="265"/>
      <c r="AN311" s="309"/>
      <c r="AO311" s="269"/>
      <c r="AP311" s="265"/>
      <c r="AQ311" s="309"/>
      <c r="AR311" s="289"/>
      <c r="AS311" s="269"/>
      <c r="AT311" s="265"/>
      <c r="AU311" s="260"/>
      <c r="AV311" s="260"/>
      <c r="AW311" s="200"/>
      <c r="AX311" s="200"/>
      <c r="AY311" s="200"/>
      <c r="AZ311" s="139">
        <f t="shared" si="113"/>
        <v>1</v>
      </c>
      <c r="BA311" s="200"/>
      <c r="BB311" s="200"/>
      <c r="BC311" s="3"/>
      <c r="BD311" s="95"/>
      <c r="BE311" s="2"/>
    </row>
    <row r="312" spans="2:58" ht="43.9" customHeight="1" x14ac:dyDescent="0.25">
      <c r="B312" s="100">
        <f t="shared" si="110"/>
        <v>294</v>
      </c>
      <c r="C312" s="110" t="s">
        <v>2119</v>
      </c>
      <c r="D312" s="99" t="s">
        <v>32</v>
      </c>
      <c r="E312" s="142">
        <v>44721</v>
      </c>
      <c r="F312" s="268" t="s">
        <v>4436</v>
      </c>
      <c r="G312" s="96" t="s">
        <v>2120</v>
      </c>
      <c r="H312" s="96" t="s">
        <v>2121</v>
      </c>
      <c r="I312" s="96" t="s">
        <v>146</v>
      </c>
      <c r="J312" s="133" t="s">
        <v>2122</v>
      </c>
      <c r="K312" s="343">
        <v>56044002</v>
      </c>
      <c r="L312" s="138" t="s">
        <v>3013</v>
      </c>
      <c r="M312" s="99" t="s">
        <v>3112</v>
      </c>
      <c r="N312" s="99"/>
      <c r="O312" s="99">
        <v>202204346</v>
      </c>
      <c r="P312" s="176">
        <v>56044002</v>
      </c>
      <c r="Q312" s="96" t="s">
        <v>146</v>
      </c>
      <c r="R312" s="96" t="s">
        <v>146</v>
      </c>
      <c r="S312" s="99" t="s">
        <v>1561</v>
      </c>
      <c r="T312" s="111" t="s">
        <v>43</v>
      </c>
      <c r="U312" s="96" t="s">
        <v>624</v>
      </c>
      <c r="V312" s="119">
        <v>44721</v>
      </c>
      <c r="W312" s="170">
        <f>+$D$2-E312</f>
        <v>-44721</v>
      </c>
      <c r="X312" s="170">
        <f>$D$2-V312</f>
        <v>-44721</v>
      </c>
      <c r="Y312" s="99" t="s">
        <v>1317</v>
      </c>
      <c r="Z312" s="96" t="s">
        <v>168</v>
      </c>
      <c r="AA312" s="99" t="s">
        <v>169</v>
      </c>
      <c r="AB312" s="96" t="s">
        <v>3113</v>
      </c>
      <c r="AC312" s="99"/>
      <c r="AD312" s="119">
        <v>44772</v>
      </c>
      <c r="AE312" s="183" t="s">
        <v>4437</v>
      </c>
      <c r="AF312" s="171"/>
      <c r="AG312" s="170">
        <f t="shared" si="129"/>
        <v>51</v>
      </c>
      <c r="AH312" s="144">
        <f t="shared" si="130"/>
        <v>51</v>
      </c>
      <c r="AI312" s="99" t="s">
        <v>146</v>
      </c>
      <c r="AJ312" s="96" t="s">
        <v>155</v>
      </c>
      <c r="AK312" s="99" t="s">
        <v>3114</v>
      </c>
      <c r="AL312" s="97">
        <v>44761</v>
      </c>
      <c r="AM312" s="211">
        <v>56044002</v>
      </c>
      <c r="AN312" s="96" t="s">
        <v>3115</v>
      </c>
      <c r="AO312" s="99"/>
      <c r="AP312" s="181">
        <f t="shared" ref="AP312:AP313" si="131">+K312-AM312</f>
        <v>0</v>
      </c>
      <c r="AQ312" s="138"/>
      <c r="AR312" s="138"/>
      <c r="AS312" s="99"/>
      <c r="AT312" s="99"/>
      <c r="AU312" s="138"/>
      <c r="AV312" s="96" t="s">
        <v>174</v>
      </c>
      <c r="AW312" s="99" t="s">
        <v>175</v>
      </c>
      <c r="AX312" s="96" t="s">
        <v>2459</v>
      </c>
      <c r="AY312" s="167">
        <f t="shared" ref="AY312:AY313" si="132">+AP312/K312</f>
        <v>0</v>
      </c>
      <c r="AZ312" s="139">
        <f t="shared" si="113"/>
        <v>1</v>
      </c>
      <c r="BA312" s="139">
        <f>IF(T312="Invitación Privada",1,IF(T312="Invitación Pública",2,0))</f>
        <v>1</v>
      </c>
      <c r="BB312" s="132">
        <f>IF(AA312="CONTRATADO",IF(BA312=1,NETWORKDAYS.INTL(E312,AD312,1,[1]FESTIVOS!$B$3:$B$10)-1,AD312-E312))-BD312</f>
        <v>36</v>
      </c>
      <c r="BC312" s="156"/>
      <c r="BD312" s="162"/>
      <c r="BE312" s="163"/>
      <c r="BF312" s="160"/>
    </row>
    <row r="313" spans="2:58" ht="43.9" customHeight="1" x14ac:dyDescent="0.25">
      <c r="B313" s="100">
        <f t="shared" si="110"/>
        <v>295</v>
      </c>
      <c r="C313" s="110" t="s">
        <v>2123</v>
      </c>
      <c r="D313" s="99" t="s">
        <v>28</v>
      </c>
      <c r="E313" s="142">
        <v>44722</v>
      </c>
      <c r="F313" s="268" t="s">
        <v>4436</v>
      </c>
      <c r="G313" s="143" t="s">
        <v>255</v>
      </c>
      <c r="H313" s="96" t="s">
        <v>1288</v>
      </c>
      <c r="I313" s="96" t="s">
        <v>146</v>
      </c>
      <c r="J313" s="133" t="s">
        <v>1289</v>
      </c>
      <c r="K313" s="343">
        <v>109994080</v>
      </c>
      <c r="L313" s="96" t="s">
        <v>1206</v>
      </c>
      <c r="M313" s="99" t="s">
        <v>2124</v>
      </c>
      <c r="N313" s="99"/>
      <c r="O313" s="99">
        <v>202201829</v>
      </c>
      <c r="P313" s="169">
        <v>110000000</v>
      </c>
      <c r="Q313" s="96" t="s">
        <v>146</v>
      </c>
      <c r="R313" s="96" t="s">
        <v>146</v>
      </c>
      <c r="S313" s="99" t="s">
        <v>1561</v>
      </c>
      <c r="T313" s="111" t="s">
        <v>43</v>
      </c>
      <c r="U313" s="96" t="s">
        <v>256</v>
      </c>
      <c r="V313" s="119">
        <v>44722</v>
      </c>
      <c r="W313" s="170">
        <f>+$D$2-E313</f>
        <v>-44722</v>
      </c>
      <c r="X313" s="99">
        <f>$D$2-V313</f>
        <v>-44722</v>
      </c>
      <c r="Y313" s="99" t="s">
        <v>1317</v>
      </c>
      <c r="Z313" s="96" t="s">
        <v>168</v>
      </c>
      <c r="AA313" s="99" t="s">
        <v>169</v>
      </c>
      <c r="AB313" s="96" t="s">
        <v>3116</v>
      </c>
      <c r="AC313" s="99"/>
      <c r="AD313" s="119">
        <v>44768</v>
      </c>
      <c r="AE313" s="183" t="s">
        <v>4437</v>
      </c>
      <c r="AF313" s="171"/>
      <c r="AG313" s="170">
        <f t="shared" si="129"/>
        <v>46</v>
      </c>
      <c r="AH313" s="144">
        <f t="shared" si="130"/>
        <v>46</v>
      </c>
      <c r="AI313" s="99" t="s">
        <v>258</v>
      </c>
      <c r="AJ313" s="96"/>
      <c r="AK313" s="99" t="s">
        <v>3117</v>
      </c>
      <c r="AL313" s="97">
        <v>44750</v>
      </c>
      <c r="AM313" s="211">
        <v>109994080</v>
      </c>
      <c r="AN313" s="96" t="s">
        <v>3118</v>
      </c>
      <c r="AO313" s="99"/>
      <c r="AP313" s="181">
        <f t="shared" si="131"/>
        <v>0</v>
      </c>
      <c r="AQ313" s="138"/>
      <c r="AR313" s="138"/>
      <c r="AS313" s="99"/>
      <c r="AT313" s="99"/>
      <c r="AU313" s="138"/>
      <c r="AV313" s="99"/>
      <c r="AW313" s="99"/>
      <c r="AX313" s="96" t="s">
        <v>2382</v>
      </c>
      <c r="AY313" s="167">
        <f t="shared" si="132"/>
        <v>0</v>
      </c>
      <c r="AZ313" s="139">
        <f t="shared" si="113"/>
        <v>1</v>
      </c>
      <c r="BA313" s="139">
        <f>IF(T313="Invitación Privada",1,IF(T313="Invitación Pública",2,0))</f>
        <v>1</v>
      </c>
      <c r="BB313" s="132">
        <f>IF(AA313="CONTRATADO",IF(BA313=1,NETWORKDAYS.INTL(E313,AD313,1,[1]FESTIVOS!$B$3:$B$10)-1,AD313-E313))-BD313</f>
        <v>23</v>
      </c>
      <c r="BC313" s="156"/>
      <c r="BD313" s="162">
        <v>9</v>
      </c>
      <c r="BE313" s="391" t="s">
        <v>3154</v>
      </c>
    </row>
    <row r="314" spans="2:58" ht="43.9" customHeight="1" x14ac:dyDescent="0.25">
      <c r="B314" s="100">
        <f t="shared" si="110"/>
        <v>296</v>
      </c>
      <c r="C314" s="293" t="s">
        <v>2125</v>
      </c>
      <c r="D314" s="265" t="s">
        <v>1559</v>
      </c>
      <c r="E314" s="272">
        <v>44722</v>
      </c>
      <c r="F314" s="268" t="s">
        <v>4436</v>
      </c>
      <c r="G314" s="269" t="s">
        <v>2126</v>
      </c>
      <c r="H314" s="265" t="s">
        <v>2127</v>
      </c>
      <c r="I314" s="265" t="s">
        <v>146</v>
      </c>
      <c r="J314" s="269" t="s">
        <v>2128</v>
      </c>
      <c r="K314" s="342">
        <v>241804143</v>
      </c>
      <c r="L314" s="282"/>
      <c r="M314" s="265" t="s">
        <v>2424</v>
      </c>
      <c r="N314" s="302" t="str">
        <f>MID(M314,5,3)</f>
        <v>IP-</v>
      </c>
      <c r="O314" s="265" t="s">
        <v>2129</v>
      </c>
      <c r="P314" s="271"/>
      <c r="Q314" s="265" t="s">
        <v>146</v>
      </c>
      <c r="R314" s="265" t="s">
        <v>146</v>
      </c>
      <c r="S314" s="265" t="s">
        <v>1561</v>
      </c>
      <c r="T314" s="111" t="s">
        <v>43</v>
      </c>
      <c r="U314" s="269" t="s">
        <v>1904</v>
      </c>
      <c r="V314" s="285">
        <v>44742</v>
      </c>
      <c r="W314" s="303" t="e">
        <f>+$D$4-E314</f>
        <v>#VALUE!</v>
      </c>
      <c r="X314" s="303" t="e">
        <f>$D$4-V314</f>
        <v>#VALUE!</v>
      </c>
      <c r="Y314" s="265" t="s">
        <v>1300</v>
      </c>
      <c r="Z314" s="265" t="s">
        <v>214</v>
      </c>
      <c r="AA314" s="265" t="s">
        <v>215</v>
      </c>
      <c r="AB314" s="265"/>
      <c r="AC314" s="304" t="s">
        <v>2425</v>
      </c>
      <c r="AD314" s="285">
        <v>44760</v>
      </c>
      <c r="AE314" s="285"/>
      <c r="AF314" s="305" t="str">
        <f>+IF(AD314="","",TEXT(AD314,"mmm"))</f>
        <v>jul</v>
      </c>
      <c r="AG314" s="306">
        <f t="shared" si="129"/>
        <v>38</v>
      </c>
      <c r="AH314" s="307">
        <f t="shared" si="130"/>
        <v>18</v>
      </c>
      <c r="AI314" s="265"/>
      <c r="AJ314" s="265" t="s">
        <v>171</v>
      </c>
      <c r="AK314" s="265"/>
      <c r="AL314" s="265"/>
      <c r="AM314" s="309"/>
      <c r="AN314" s="269"/>
      <c r="AO314" s="265"/>
      <c r="AP314" s="309"/>
      <c r="AQ314" s="289"/>
      <c r="AR314" s="269"/>
      <c r="AS314" s="265"/>
      <c r="AT314" s="260"/>
      <c r="AU314" s="260"/>
      <c r="AV314" s="200"/>
      <c r="AW314" s="200"/>
      <c r="AX314" s="200"/>
      <c r="AY314" s="200"/>
      <c r="AZ314" s="139">
        <f t="shared" si="113"/>
        <v>0</v>
      </c>
      <c r="BA314" s="200"/>
      <c r="BB314" s="203"/>
      <c r="BC314" s="95"/>
      <c r="BD314" s="2"/>
      <c r="BE314" s="2"/>
      <c r="BF314" s="160"/>
    </row>
    <row r="315" spans="2:58" ht="43.9" customHeight="1" x14ac:dyDescent="0.25">
      <c r="B315" s="100">
        <f t="shared" si="110"/>
        <v>297</v>
      </c>
      <c r="C315" s="110" t="s">
        <v>2130</v>
      </c>
      <c r="D315" s="99" t="s">
        <v>33</v>
      </c>
      <c r="E315" s="142">
        <v>44722</v>
      </c>
      <c r="F315" s="268" t="s">
        <v>4436</v>
      </c>
      <c r="G315" s="96" t="s">
        <v>2131</v>
      </c>
      <c r="H315" s="96" t="s">
        <v>2132</v>
      </c>
      <c r="I315" s="96" t="s">
        <v>146</v>
      </c>
      <c r="J315" s="133" t="s">
        <v>2133</v>
      </c>
      <c r="K315" s="343">
        <v>20650000</v>
      </c>
      <c r="L315" s="99" t="s">
        <v>3020</v>
      </c>
      <c r="M315" s="99" t="s">
        <v>3021</v>
      </c>
      <c r="N315" s="99"/>
      <c r="O315" s="99">
        <v>202203877</v>
      </c>
      <c r="P315" s="168">
        <v>20650000</v>
      </c>
      <c r="Q315" s="96" t="s">
        <v>146</v>
      </c>
      <c r="R315" s="96" t="s">
        <v>146</v>
      </c>
      <c r="S315" s="99" t="s">
        <v>1561</v>
      </c>
      <c r="T315" s="111" t="s">
        <v>43</v>
      </c>
      <c r="U315" s="96" t="s">
        <v>624</v>
      </c>
      <c r="V315" s="119">
        <v>44722</v>
      </c>
      <c r="W315" s="170">
        <v>96</v>
      </c>
      <c r="X315" s="99">
        <v>96</v>
      </c>
      <c r="Y315" s="99" t="s">
        <v>1317</v>
      </c>
      <c r="Z315" s="99" t="s">
        <v>168</v>
      </c>
      <c r="AA315" s="99" t="s">
        <v>169</v>
      </c>
      <c r="AB315" s="96" t="s">
        <v>3022</v>
      </c>
      <c r="AC315" s="99"/>
      <c r="AD315" s="97">
        <v>44783</v>
      </c>
      <c r="AE315" s="183" t="s">
        <v>4438</v>
      </c>
      <c r="AF315" s="171"/>
      <c r="AG315" s="170">
        <v>61</v>
      </c>
      <c r="AH315" s="144">
        <v>61</v>
      </c>
      <c r="AI315" s="99" t="s">
        <v>258</v>
      </c>
      <c r="AJ315" s="96" t="s">
        <v>171</v>
      </c>
      <c r="AK315" s="99" t="s">
        <v>3023</v>
      </c>
      <c r="AL315" s="97">
        <v>44757</v>
      </c>
      <c r="AM315" s="215">
        <v>20650000</v>
      </c>
      <c r="AN315" s="96" t="s">
        <v>3024</v>
      </c>
      <c r="AO315" s="99">
        <v>202207214</v>
      </c>
      <c r="AP315" s="181">
        <f t="shared" ref="AP315:AP316" si="133">+K315-AM315</f>
        <v>0</v>
      </c>
      <c r="AQ315" s="138"/>
      <c r="AR315" s="138"/>
      <c r="AS315" s="99"/>
      <c r="AT315" s="99"/>
      <c r="AU315" s="138"/>
      <c r="AV315" s="99" t="s">
        <v>174</v>
      </c>
      <c r="AW315" s="99" t="s">
        <v>175</v>
      </c>
      <c r="AX315" s="96" t="s">
        <v>2485</v>
      </c>
      <c r="AY315" s="167">
        <f t="shared" ref="AY315:AY316" si="134">+AP315/K315</f>
        <v>0</v>
      </c>
      <c r="AZ315" s="139">
        <f t="shared" si="113"/>
        <v>1</v>
      </c>
      <c r="BA315" s="139">
        <f>IF(T315="Invitación Privada",1,IF(T315="Invitación Pública",2,0))</f>
        <v>1</v>
      </c>
      <c r="BB315" s="132">
        <f>IF(AA315="CONTRATADO",IF(BA315=1,NETWORKDAYS.INTL(E315,AD315,1,[1]FESTIVOS!$B$3:$B$10)-1,AD315-E315))-BD315</f>
        <v>25</v>
      </c>
      <c r="BC315" s="156"/>
      <c r="BD315" s="162">
        <f>4+4+6+4</f>
        <v>18</v>
      </c>
      <c r="BE315" s="163" t="s">
        <v>3520</v>
      </c>
    </row>
    <row r="316" spans="2:58" ht="43.9" customHeight="1" x14ac:dyDescent="0.25">
      <c r="B316" s="100">
        <f t="shared" si="110"/>
        <v>298</v>
      </c>
      <c r="C316" s="110" t="s">
        <v>2134</v>
      </c>
      <c r="D316" s="99" t="s">
        <v>33</v>
      </c>
      <c r="E316" s="142">
        <v>44722</v>
      </c>
      <c r="F316" s="268" t="s">
        <v>4436</v>
      </c>
      <c r="G316" s="96" t="s">
        <v>2135</v>
      </c>
      <c r="H316" s="96" t="s">
        <v>2136</v>
      </c>
      <c r="I316" s="96" t="s">
        <v>146</v>
      </c>
      <c r="J316" s="133" t="s">
        <v>2137</v>
      </c>
      <c r="K316" s="343">
        <v>17342748</v>
      </c>
      <c r="L316" s="99" t="s">
        <v>3025</v>
      </c>
      <c r="M316" s="99" t="s">
        <v>3026</v>
      </c>
      <c r="N316" s="99"/>
      <c r="O316" s="99">
        <v>202203878</v>
      </c>
      <c r="P316" s="169"/>
      <c r="Q316" s="96" t="s">
        <v>146</v>
      </c>
      <c r="R316" s="96" t="s">
        <v>146</v>
      </c>
      <c r="S316" s="99" t="s">
        <v>1561</v>
      </c>
      <c r="T316" s="111" t="s">
        <v>43</v>
      </c>
      <c r="U316" s="96" t="s">
        <v>624</v>
      </c>
      <c r="V316" s="119">
        <v>44722</v>
      </c>
      <c r="W316" s="170">
        <v>96</v>
      </c>
      <c r="X316" s="99">
        <v>96</v>
      </c>
      <c r="Y316" s="99" t="s">
        <v>1317</v>
      </c>
      <c r="Z316" s="99" t="s">
        <v>168</v>
      </c>
      <c r="AA316" s="99" t="s">
        <v>169</v>
      </c>
      <c r="AB316" s="96" t="s">
        <v>3027</v>
      </c>
      <c r="AC316" s="99"/>
      <c r="AD316" s="97">
        <v>44778</v>
      </c>
      <c r="AE316" s="183" t="s">
        <v>4438</v>
      </c>
      <c r="AF316" s="171"/>
      <c r="AG316" s="170">
        <v>56</v>
      </c>
      <c r="AH316" s="144">
        <v>56</v>
      </c>
      <c r="AI316" s="99" t="s">
        <v>258</v>
      </c>
      <c r="AJ316" s="96" t="s">
        <v>155</v>
      </c>
      <c r="AK316" s="99" t="s">
        <v>3028</v>
      </c>
      <c r="AL316" s="97">
        <v>44767</v>
      </c>
      <c r="AM316" s="215">
        <v>17308550</v>
      </c>
      <c r="AN316" s="96" t="s">
        <v>3029</v>
      </c>
      <c r="AO316" s="99">
        <v>202207317</v>
      </c>
      <c r="AP316" s="181">
        <f t="shared" si="133"/>
        <v>34198</v>
      </c>
      <c r="AQ316" s="138"/>
      <c r="AR316" s="138"/>
      <c r="AS316" s="99"/>
      <c r="AT316" s="99"/>
      <c r="AU316" s="138"/>
      <c r="AV316" s="99" t="s">
        <v>174</v>
      </c>
      <c r="AW316" s="99" t="s">
        <v>175</v>
      </c>
      <c r="AX316" s="96" t="s">
        <v>2485</v>
      </c>
      <c r="AY316" s="167">
        <f t="shared" si="134"/>
        <v>1.9718904985530552E-3</v>
      </c>
      <c r="AZ316" s="139">
        <f t="shared" si="113"/>
        <v>1</v>
      </c>
      <c r="BA316" s="139">
        <f>IF(T316="Invitación Privada",1,IF(T316="Invitación Pública",2,0))</f>
        <v>1</v>
      </c>
      <c r="BB316" s="132">
        <f>IF(AA316="CONTRATADO",IF(BA316=1,NETWORKDAYS.INTL(E316,AD316,1,[1]FESTIVOS!$B$3:$B$10)-1,AD316-E316))-BD316</f>
        <v>31</v>
      </c>
      <c r="BC316" s="156"/>
      <c r="BD316" s="162">
        <v>9</v>
      </c>
      <c r="BE316" s="163" t="s">
        <v>3521</v>
      </c>
      <c r="BF316" s="2" t="s">
        <v>4228</v>
      </c>
    </row>
    <row r="317" spans="2:58" ht="43.9" customHeight="1" x14ac:dyDescent="0.25">
      <c r="B317" s="100">
        <f t="shared" si="110"/>
        <v>299</v>
      </c>
      <c r="C317" s="293" t="s">
        <v>2138</v>
      </c>
      <c r="D317" s="265" t="s">
        <v>2139</v>
      </c>
      <c r="E317" s="272">
        <v>44722</v>
      </c>
      <c r="F317" s="268" t="s">
        <v>4436</v>
      </c>
      <c r="G317" s="269" t="s">
        <v>2140</v>
      </c>
      <c r="H317" s="265" t="s">
        <v>2141</v>
      </c>
      <c r="I317" s="265" t="s">
        <v>146</v>
      </c>
      <c r="J317" s="269" t="s">
        <v>2142</v>
      </c>
      <c r="K317" s="342">
        <v>3570000</v>
      </c>
      <c r="L317" s="282"/>
      <c r="M317" s="265" t="s">
        <v>4363</v>
      </c>
      <c r="N317" s="302" t="str">
        <f>MID(M317,5,3)</f>
        <v>IPU</v>
      </c>
      <c r="O317" s="265">
        <v>202204359</v>
      </c>
      <c r="P317" s="271"/>
      <c r="Q317" s="265" t="s">
        <v>146</v>
      </c>
      <c r="R317" s="265" t="s">
        <v>146</v>
      </c>
      <c r="S317" s="265" t="s">
        <v>1561</v>
      </c>
      <c r="T317" s="111" t="s">
        <v>40</v>
      </c>
      <c r="U317" s="269" t="s">
        <v>572</v>
      </c>
      <c r="V317" s="285">
        <v>44725</v>
      </c>
      <c r="W317" s="303" t="e">
        <f>+$D$4-E317</f>
        <v>#VALUE!</v>
      </c>
      <c r="X317" s="303" t="e">
        <f>$D$4-V317</f>
        <v>#VALUE!</v>
      </c>
      <c r="Y317" s="265" t="s">
        <v>1300</v>
      </c>
      <c r="Z317" s="265" t="s">
        <v>214</v>
      </c>
      <c r="AA317" s="265" t="s">
        <v>215</v>
      </c>
      <c r="AB317" s="265"/>
      <c r="AC317" s="304" t="s">
        <v>2464</v>
      </c>
      <c r="AD317" s="272">
        <v>44840</v>
      </c>
      <c r="AE317" s="272"/>
      <c r="AF317" s="305" t="str">
        <f>+IF(AD317="","",TEXT(AD317,"mmm"))</f>
        <v>oct</v>
      </c>
      <c r="AG317" s="306">
        <f>+AD317-E317</f>
        <v>118</v>
      </c>
      <c r="AH317" s="307">
        <f>+AD317-V317</f>
        <v>115</v>
      </c>
      <c r="AI317" s="265" t="s">
        <v>258</v>
      </c>
      <c r="AJ317" s="265" t="s">
        <v>155</v>
      </c>
      <c r="AK317" s="265"/>
      <c r="AL317" s="265"/>
      <c r="AM317" s="309"/>
      <c r="AN317" s="269"/>
      <c r="AO317" s="265"/>
      <c r="AP317" s="309">
        <f>+K317-AM317</f>
        <v>3570000</v>
      </c>
      <c r="AQ317" s="289"/>
      <c r="AR317" s="269"/>
      <c r="AS317" s="265"/>
      <c r="AT317" s="260"/>
      <c r="AU317" s="260"/>
      <c r="AV317" s="200"/>
      <c r="AW317" s="200"/>
      <c r="AX317" s="200"/>
      <c r="AY317" s="200"/>
      <c r="AZ317" s="139">
        <f t="shared" si="113"/>
        <v>0</v>
      </c>
      <c r="BA317" s="200"/>
      <c r="BB317" s="203"/>
      <c r="BC317" s="95"/>
      <c r="BD317" s="2"/>
      <c r="BE317" s="2"/>
      <c r="BF317" s="160"/>
    </row>
    <row r="318" spans="2:58" ht="43.9" customHeight="1" x14ac:dyDescent="0.25">
      <c r="B318" s="100">
        <f t="shared" si="110"/>
        <v>300</v>
      </c>
      <c r="C318" s="110" t="s">
        <v>2143</v>
      </c>
      <c r="D318" s="99" t="s">
        <v>28</v>
      </c>
      <c r="E318" s="142">
        <v>44722</v>
      </c>
      <c r="F318" s="268" t="s">
        <v>4436</v>
      </c>
      <c r="G318" s="96" t="s">
        <v>2144</v>
      </c>
      <c r="H318" s="96" t="s">
        <v>2145</v>
      </c>
      <c r="I318" s="96" t="s">
        <v>146</v>
      </c>
      <c r="J318" s="133" t="s">
        <v>2146</v>
      </c>
      <c r="K318" s="343">
        <v>1755493200</v>
      </c>
      <c r="L318" s="99" t="s">
        <v>1105</v>
      </c>
      <c r="M318" s="99" t="s">
        <v>2147</v>
      </c>
      <c r="N318" s="99"/>
      <c r="O318" s="99">
        <v>202201760</v>
      </c>
      <c r="P318" s="168">
        <v>1755493200</v>
      </c>
      <c r="Q318" s="96" t="s">
        <v>146</v>
      </c>
      <c r="R318" s="96" t="s">
        <v>146</v>
      </c>
      <c r="S318" s="99" t="s">
        <v>1560</v>
      </c>
      <c r="T318" s="111" t="s">
        <v>40</v>
      </c>
      <c r="U318" s="96" t="s">
        <v>187</v>
      </c>
      <c r="V318" s="119">
        <v>44725</v>
      </c>
      <c r="W318" s="170">
        <v>96</v>
      </c>
      <c r="X318" s="99">
        <v>93</v>
      </c>
      <c r="Y318" s="99" t="s">
        <v>1317</v>
      </c>
      <c r="Z318" s="99" t="s">
        <v>168</v>
      </c>
      <c r="AA318" s="99" t="s">
        <v>169</v>
      </c>
      <c r="AB318" s="96" t="s">
        <v>2465</v>
      </c>
      <c r="AC318" s="99"/>
      <c r="AD318" s="97">
        <v>44796</v>
      </c>
      <c r="AE318" s="183" t="s">
        <v>4438</v>
      </c>
      <c r="AF318" s="171"/>
      <c r="AG318" s="170">
        <v>74</v>
      </c>
      <c r="AH318" s="144">
        <v>71</v>
      </c>
      <c r="AI318" s="99" t="s">
        <v>146</v>
      </c>
      <c r="AJ318" s="96" t="s">
        <v>155</v>
      </c>
      <c r="AK318" s="99" t="s">
        <v>3414</v>
      </c>
      <c r="AL318" s="97">
        <v>44785</v>
      </c>
      <c r="AM318" s="215">
        <v>1732109718</v>
      </c>
      <c r="AN318" s="96" t="s">
        <v>3415</v>
      </c>
      <c r="AO318" s="99">
        <v>202207854</v>
      </c>
      <c r="AP318" s="181">
        <f t="shared" ref="AP318" si="135">+K318-AM318</f>
        <v>23383482</v>
      </c>
      <c r="AQ318" s="138"/>
      <c r="AR318" s="138"/>
      <c r="AS318" s="99"/>
      <c r="AT318" s="99"/>
      <c r="AU318" s="138"/>
      <c r="AV318" s="99" t="s">
        <v>174</v>
      </c>
      <c r="AW318" s="99" t="s">
        <v>175</v>
      </c>
      <c r="AX318" s="96" t="s">
        <v>2466</v>
      </c>
      <c r="AY318" s="167">
        <f>+AP318/K318</f>
        <v>1.3320178055944621E-2</v>
      </c>
      <c r="AZ318" s="139">
        <f t="shared" si="113"/>
        <v>1</v>
      </c>
      <c r="BA318" s="139">
        <f>IF(T318="Invitación Privada",1,IF(T318="Invitación Pública",2,0))</f>
        <v>2</v>
      </c>
      <c r="BB318" s="132">
        <f>IF(AA318="CONTRATADO",IF(BA318=1,NETWORKDAYS.INTL(E318,AD318,1,[1]FESTIVOS!$B$3:$B$10)-1,AD318-E318))-BD318</f>
        <v>74</v>
      </c>
      <c r="BC318" s="156"/>
      <c r="BD318" s="162"/>
      <c r="BE318" s="163"/>
      <c r="BF318" s="163"/>
    </row>
    <row r="319" spans="2:58" ht="43.9" customHeight="1" x14ac:dyDescent="0.25">
      <c r="B319" s="100">
        <f t="shared" si="110"/>
        <v>301</v>
      </c>
      <c r="C319" s="293" t="s">
        <v>2148</v>
      </c>
      <c r="D319" s="265" t="s">
        <v>28</v>
      </c>
      <c r="E319" s="272">
        <v>44725</v>
      </c>
      <c r="F319" s="268" t="s">
        <v>4436</v>
      </c>
      <c r="G319" s="322" t="s">
        <v>3919</v>
      </c>
      <c r="H319" s="265" t="s">
        <v>1394</v>
      </c>
      <c r="I319" s="265" t="s">
        <v>146</v>
      </c>
      <c r="J319" s="269" t="s">
        <v>2149</v>
      </c>
      <c r="K319" s="342">
        <v>207605670</v>
      </c>
      <c r="L319" s="282"/>
      <c r="M319" s="265" t="s">
        <v>2150</v>
      </c>
      <c r="N319" s="302" t="str">
        <f>MID(M319,5,3)</f>
        <v>IP-</v>
      </c>
      <c r="O319" s="265">
        <v>202202669</v>
      </c>
      <c r="P319" s="271"/>
      <c r="Q319" s="265" t="s">
        <v>146</v>
      </c>
      <c r="R319" s="265" t="s">
        <v>146</v>
      </c>
      <c r="S319" s="265" t="s">
        <v>1561</v>
      </c>
      <c r="T319" s="111" t="s">
        <v>43</v>
      </c>
      <c r="U319" s="269" t="s">
        <v>503</v>
      </c>
      <c r="V319" s="285">
        <v>44725</v>
      </c>
      <c r="W319" s="303" t="e">
        <f>+$D$4-E319</f>
        <v>#VALUE!</v>
      </c>
      <c r="X319" s="303" t="e">
        <f>$D$4-V319</f>
        <v>#VALUE!</v>
      </c>
      <c r="Y319" s="265" t="s">
        <v>1300</v>
      </c>
      <c r="Z319" s="265" t="s">
        <v>152</v>
      </c>
      <c r="AA319" s="265" t="s">
        <v>153</v>
      </c>
      <c r="AB319" s="265"/>
      <c r="AC319" s="304" t="s">
        <v>2411</v>
      </c>
      <c r="AD319" s="285">
        <v>44771</v>
      </c>
      <c r="AE319" s="285"/>
      <c r="AF319" s="305" t="str">
        <f>+IF(AD319="","",TEXT(AD319,"mmm"))</f>
        <v>jul</v>
      </c>
      <c r="AG319" s="306">
        <f>+AD319-E319</f>
        <v>46</v>
      </c>
      <c r="AH319" s="307">
        <f>+AD319-V319</f>
        <v>46</v>
      </c>
      <c r="AI319" s="265"/>
      <c r="AJ319" s="265" t="s">
        <v>171</v>
      </c>
      <c r="AK319" s="265"/>
      <c r="AL319" s="265"/>
      <c r="AM319" s="265"/>
      <c r="AN319" s="309"/>
      <c r="AO319" s="269"/>
      <c r="AP319" s="265"/>
      <c r="AQ319" s="309"/>
      <c r="AR319" s="289"/>
      <c r="AS319" s="269"/>
      <c r="AT319" s="265"/>
      <c r="AU319" s="260"/>
      <c r="AV319" s="260"/>
      <c r="AW319" s="200"/>
      <c r="AX319" s="200"/>
      <c r="AY319" s="200"/>
      <c r="AZ319" s="139">
        <f t="shared" si="113"/>
        <v>1</v>
      </c>
      <c r="BA319" s="200"/>
      <c r="BB319" s="200"/>
      <c r="BC319" s="3"/>
      <c r="BD319" s="95"/>
      <c r="BE319" s="2"/>
      <c r="BF319" s="160"/>
    </row>
    <row r="320" spans="2:58" ht="43.9" customHeight="1" x14ac:dyDescent="0.25">
      <c r="B320" s="100">
        <f t="shared" si="110"/>
        <v>302</v>
      </c>
      <c r="C320" s="110" t="s">
        <v>2151</v>
      </c>
      <c r="D320" s="99" t="s">
        <v>28</v>
      </c>
      <c r="E320" s="142">
        <v>44725</v>
      </c>
      <c r="F320" s="268" t="s">
        <v>4436</v>
      </c>
      <c r="G320" s="96" t="s">
        <v>2152</v>
      </c>
      <c r="H320" s="96" t="s">
        <v>2153</v>
      </c>
      <c r="I320" s="96" t="s">
        <v>146</v>
      </c>
      <c r="J320" s="133" t="s">
        <v>2154</v>
      </c>
      <c r="K320" s="343">
        <v>5580200</v>
      </c>
      <c r="L320" s="99" t="s">
        <v>3020</v>
      </c>
      <c r="M320" s="96" t="s">
        <v>3514</v>
      </c>
      <c r="N320" s="96"/>
      <c r="O320" s="99">
        <v>202200777</v>
      </c>
      <c r="P320" s="169"/>
      <c r="Q320" s="96" t="s">
        <v>146</v>
      </c>
      <c r="R320" s="96" t="s">
        <v>146</v>
      </c>
      <c r="S320" s="99" t="s">
        <v>1561</v>
      </c>
      <c r="T320" s="111" t="s">
        <v>43</v>
      </c>
      <c r="U320" s="96" t="s">
        <v>277</v>
      </c>
      <c r="V320" s="119">
        <v>44725</v>
      </c>
      <c r="W320" s="170">
        <v>93</v>
      </c>
      <c r="X320" s="99">
        <v>93</v>
      </c>
      <c r="Y320" s="99" t="s">
        <v>1317</v>
      </c>
      <c r="Z320" s="99" t="s">
        <v>168</v>
      </c>
      <c r="AA320" s="99" t="s">
        <v>169</v>
      </c>
      <c r="AB320" s="96" t="s">
        <v>2467</v>
      </c>
      <c r="AC320" s="99"/>
      <c r="AD320" s="97">
        <v>44798</v>
      </c>
      <c r="AE320" s="183" t="s">
        <v>4438</v>
      </c>
      <c r="AF320" s="171"/>
      <c r="AG320" s="170">
        <v>73</v>
      </c>
      <c r="AH320" s="144">
        <v>73</v>
      </c>
      <c r="AI320" s="99" t="s">
        <v>258</v>
      </c>
      <c r="AJ320" s="96" t="s">
        <v>155</v>
      </c>
      <c r="AK320" s="99" t="s">
        <v>3416</v>
      </c>
      <c r="AL320" s="97">
        <v>44774</v>
      </c>
      <c r="AM320" s="215">
        <v>4046000</v>
      </c>
      <c r="AN320" s="96" t="s">
        <v>3417</v>
      </c>
      <c r="AO320" s="99">
        <v>202207700</v>
      </c>
      <c r="AP320" s="181">
        <f t="shared" ref="AP320" si="136">+K320-AM320</f>
        <v>1534200</v>
      </c>
      <c r="AQ320" s="138"/>
      <c r="AR320" s="138"/>
      <c r="AS320" s="99"/>
      <c r="AT320" s="99"/>
      <c r="AU320" s="138"/>
      <c r="AV320" s="99" t="s">
        <v>174</v>
      </c>
      <c r="AW320" s="99" t="s">
        <v>175</v>
      </c>
      <c r="AX320" s="96" t="s">
        <v>2390</v>
      </c>
      <c r="AY320" s="167">
        <f>+AP320/K320</f>
        <v>0.27493638220852301</v>
      </c>
      <c r="AZ320" s="139">
        <f t="shared" si="113"/>
        <v>1</v>
      </c>
      <c r="BA320" s="139">
        <f>IF(T320="Invitación Privada",1,IF(T320="Invitación Pública",2,0))</f>
        <v>1</v>
      </c>
      <c r="BB320" s="132">
        <f>IF(AA320="CONTRATADO",IF(BA320=1,NETWORKDAYS.INTL(E320,AD320,1,[1]FESTIVOS!$B$3:$B$10)-1,AD320-E320))-BD320</f>
        <v>47</v>
      </c>
      <c r="BC320" s="156"/>
      <c r="BD320" s="162">
        <v>6</v>
      </c>
      <c r="BE320" s="163" t="s">
        <v>3527</v>
      </c>
    </row>
    <row r="321" spans="2:58" ht="43.9" customHeight="1" x14ac:dyDescent="0.25">
      <c r="B321" s="100">
        <f t="shared" si="110"/>
        <v>303</v>
      </c>
      <c r="C321" s="293" t="s">
        <v>4319</v>
      </c>
      <c r="D321" s="265" t="s">
        <v>28</v>
      </c>
      <c r="E321" s="272">
        <v>44726</v>
      </c>
      <c r="F321" s="268" t="s">
        <v>4436</v>
      </c>
      <c r="G321" s="269" t="s">
        <v>1648</v>
      </c>
      <c r="H321" s="265" t="s">
        <v>1649</v>
      </c>
      <c r="I321" s="265" t="s">
        <v>146</v>
      </c>
      <c r="J321" s="269" t="s">
        <v>1650</v>
      </c>
      <c r="K321" s="342">
        <v>97403342</v>
      </c>
      <c r="L321" s="282"/>
      <c r="M321" s="265" t="s">
        <v>2412</v>
      </c>
      <c r="N321" s="302" t="str">
        <f>MID(M321,5,3)</f>
        <v>IP-</v>
      </c>
      <c r="O321" s="265">
        <v>202203123</v>
      </c>
      <c r="P321" s="271"/>
      <c r="Q321" s="265" t="s">
        <v>146</v>
      </c>
      <c r="R321" s="265" t="s">
        <v>146</v>
      </c>
      <c r="S321" s="265" t="s">
        <v>1561</v>
      </c>
      <c r="T321" s="111" t="s">
        <v>43</v>
      </c>
      <c r="U321" s="269" t="s">
        <v>277</v>
      </c>
      <c r="V321" s="285">
        <v>44726</v>
      </c>
      <c r="W321" s="303" t="e">
        <f>+$D$4-E321</f>
        <v>#VALUE!</v>
      </c>
      <c r="X321" s="303" t="e">
        <f>$D$4-V321</f>
        <v>#VALUE!</v>
      </c>
      <c r="Y321" s="265" t="s">
        <v>1300</v>
      </c>
      <c r="Z321" s="265" t="s">
        <v>152</v>
      </c>
      <c r="AA321" s="265" t="s">
        <v>153</v>
      </c>
      <c r="AB321" s="265"/>
      <c r="AC321" s="304" t="s">
        <v>2413</v>
      </c>
      <c r="AD321" s="286">
        <v>44777</v>
      </c>
      <c r="AE321" s="286"/>
      <c r="AF321" s="305" t="str">
        <f>+IF(AD321="","",TEXT(AD321,"mmm"))</f>
        <v>ago</v>
      </c>
      <c r="AG321" s="306">
        <f>+AD321-E321</f>
        <v>51</v>
      </c>
      <c r="AH321" s="307">
        <f>+AD321-V321</f>
        <v>51</v>
      </c>
      <c r="AI321" s="265"/>
      <c r="AJ321" s="265" t="s">
        <v>155</v>
      </c>
      <c r="AK321" s="265"/>
      <c r="AL321" s="265"/>
      <c r="AM321" s="265"/>
      <c r="AN321" s="309"/>
      <c r="AO321" s="269"/>
      <c r="AP321" s="265"/>
      <c r="AQ321" s="309"/>
      <c r="AR321" s="289"/>
      <c r="AS321" s="269"/>
      <c r="AT321" s="265"/>
      <c r="AU321" s="260"/>
      <c r="AV321" s="260"/>
      <c r="AW321" s="200"/>
      <c r="AX321" s="200"/>
      <c r="AY321" s="200"/>
      <c r="AZ321" s="139">
        <f t="shared" si="113"/>
        <v>1</v>
      </c>
      <c r="BA321" s="200"/>
      <c r="BB321" s="200"/>
      <c r="BC321" s="3"/>
      <c r="BD321" s="95"/>
      <c r="BE321" s="2"/>
      <c r="BF321" s="160"/>
    </row>
    <row r="322" spans="2:58" ht="43.9" customHeight="1" x14ac:dyDescent="0.25">
      <c r="B322" s="100">
        <f t="shared" si="110"/>
        <v>304</v>
      </c>
      <c r="C322" s="110" t="s">
        <v>2155</v>
      </c>
      <c r="D322" s="99" t="s">
        <v>32</v>
      </c>
      <c r="E322" s="142">
        <v>44726</v>
      </c>
      <c r="F322" s="268" t="s">
        <v>4436</v>
      </c>
      <c r="G322" s="143" t="s">
        <v>1615</v>
      </c>
      <c r="H322" s="96" t="s">
        <v>1616</v>
      </c>
      <c r="I322" s="96" t="s">
        <v>146</v>
      </c>
      <c r="J322" s="133" t="s">
        <v>1617</v>
      </c>
      <c r="K322" s="343">
        <v>21000000</v>
      </c>
      <c r="L322" s="138" t="s">
        <v>3030</v>
      </c>
      <c r="M322" s="99" t="s">
        <v>2468</v>
      </c>
      <c r="N322" s="99"/>
      <c r="O322" s="99">
        <v>202203515</v>
      </c>
      <c r="P322" s="169"/>
      <c r="Q322" s="96" t="s">
        <v>146</v>
      </c>
      <c r="R322" s="96" t="s">
        <v>146</v>
      </c>
      <c r="S322" s="99" t="s">
        <v>1561</v>
      </c>
      <c r="T322" s="111" t="s">
        <v>43</v>
      </c>
      <c r="U322" s="96" t="s">
        <v>277</v>
      </c>
      <c r="V322" s="119">
        <v>44726</v>
      </c>
      <c r="W322" s="170">
        <v>92</v>
      </c>
      <c r="X322" s="99">
        <v>92</v>
      </c>
      <c r="Y322" s="99" t="s">
        <v>1317</v>
      </c>
      <c r="Z322" s="99" t="s">
        <v>168</v>
      </c>
      <c r="AA322" s="99" t="s">
        <v>169</v>
      </c>
      <c r="AB322" s="96" t="s">
        <v>2469</v>
      </c>
      <c r="AC322" s="99"/>
      <c r="AD322" s="97">
        <v>44803</v>
      </c>
      <c r="AE322" s="183" t="s">
        <v>4438</v>
      </c>
      <c r="AF322" s="171"/>
      <c r="AG322" s="170">
        <v>77</v>
      </c>
      <c r="AH322" s="144">
        <v>77</v>
      </c>
      <c r="AI322" s="99" t="s">
        <v>258</v>
      </c>
      <c r="AJ322" s="96" t="s">
        <v>171</v>
      </c>
      <c r="AK322" s="99" t="s">
        <v>3418</v>
      </c>
      <c r="AL322" s="97">
        <v>44782</v>
      </c>
      <c r="AM322" s="215">
        <v>20075000</v>
      </c>
      <c r="AN322" s="96" t="s">
        <v>3419</v>
      </c>
      <c r="AO322" s="99"/>
      <c r="AP322" s="181">
        <f t="shared" ref="AP322:AP325" si="137">+K322-AM322</f>
        <v>925000</v>
      </c>
      <c r="AQ322" s="138"/>
      <c r="AR322" s="138"/>
      <c r="AS322" s="99"/>
      <c r="AT322" s="99"/>
      <c r="AU322" s="138"/>
      <c r="AV322" s="99" t="s">
        <v>3420</v>
      </c>
      <c r="AW322" s="99" t="s">
        <v>692</v>
      </c>
      <c r="AX322" s="96" t="s">
        <v>2379</v>
      </c>
      <c r="AY322" s="167">
        <f t="shared" ref="AY322:AY325" si="138">+AP322/K322</f>
        <v>4.4047619047619051E-2</v>
      </c>
      <c r="AZ322" s="139">
        <f t="shared" si="113"/>
        <v>1</v>
      </c>
      <c r="BA322" s="139">
        <f>IF(T322="Invitación Privada",1,IF(T322="Invitación Pública",2,0))</f>
        <v>1</v>
      </c>
      <c r="BB322" s="132">
        <f>IF(AA322="CONTRATADO",IF(BA322=1,NETWORKDAYS.INTL(E322,AD322,1,[1]FESTIVOS!$B$3:$B$10)-1,AD322-E322))-BD322</f>
        <v>38</v>
      </c>
      <c r="BC322" s="156"/>
      <c r="BD322" s="162">
        <f>6+11</f>
        <v>17</v>
      </c>
      <c r="BE322" s="163" t="s">
        <v>3524</v>
      </c>
    </row>
    <row r="323" spans="2:58" ht="43.9" customHeight="1" x14ac:dyDescent="0.25">
      <c r="B323" s="100">
        <f t="shared" si="110"/>
        <v>305</v>
      </c>
      <c r="C323" s="110" t="s">
        <v>2156</v>
      </c>
      <c r="D323" s="99" t="s">
        <v>28</v>
      </c>
      <c r="E323" s="189">
        <v>44755</v>
      </c>
      <c r="F323" s="268" t="s">
        <v>4437</v>
      </c>
      <c r="G323" s="96" t="s">
        <v>2613</v>
      </c>
      <c r="H323" s="96" t="s">
        <v>2614</v>
      </c>
      <c r="I323" s="96" t="s">
        <v>146</v>
      </c>
      <c r="J323" s="96" t="s">
        <v>2615</v>
      </c>
      <c r="K323" s="344">
        <v>26256453</v>
      </c>
      <c r="L323" s="194" t="s">
        <v>3484</v>
      </c>
      <c r="M323" s="99" t="s">
        <v>2512</v>
      </c>
      <c r="N323" s="99"/>
      <c r="O323" s="99" t="s">
        <v>2616</v>
      </c>
      <c r="P323" s="190">
        <v>26256453</v>
      </c>
      <c r="Q323" s="96" t="s">
        <v>146</v>
      </c>
      <c r="R323" s="96" t="s">
        <v>146</v>
      </c>
      <c r="S323" s="99" t="s">
        <v>146</v>
      </c>
      <c r="T323" s="111" t="s">
        <v>43</v>
      </c>
      <c r="U323" s="96" t="s">
        <v>151</v>
      </c>
      <c r="V323" s="192">
        <v>44755</v>
      </c>
      <c r="W323" s="186" t="e">
        <f>+$D$4-E323</f>
        <v>#VALUE!</v>
      </c>
      <c r="X323" s="99" t="e">
        <f>$D$4-V323</f>
        <v>#VALUE!</v>
      </c>
      <c r="Y323" s="99"/>
      <c r="Z323" s="99" t="s">
        <v>168</v>
      </c>
      <c r="AA323" s="99" t="s">
        <v>169</v>
      </c>
      <c r="AB323" s="96" t="s">
        <v>2617</v>
      </c>
      <c r="AC323" s="99"/>
      <c r="AD323" s="97">
        <v>44805</v>
      </c>
      <c r="AE323" s="183" t="s">
        <v>4262</v>
      </c>
      <c r="AF323" s="183"/>
      <c r="AG323" s="186">
        <f>+AD323-E323</f>
        <v>50</v>
      </c>
      <c r="AH323" s="187">
        <f t="shared" ref="AH323:AH328" si="139">+AD323-V323</f>
        <v>50</v>
      </c>
      <c r="AI323" s="99" t="s">
        <v>258</v>
      </c>
      <c r="AJ323" s="96" t="s">
        <v>491</v>
      </c>
      <c r="AK323" s="99" t="s">
        <v>3739</v>
      </c>
      <c r="AL323" s="97">
        <v>44803</v>
      </c>
      <c r="AM323" s="209">
        <v>26256243</v>
      </c>
      <c r="AN323" s="96" t="s">
        <v>3740</v>
      </c>
      <c r="AO323" s="99">
        <v>202208018</v>
      </c>
      <c r="AP323" s="181">
        <f t="shared" si="137"/>
        <v>210</v>
      </c>
      <c r="AQ323" s="193"/>
      <c r="AR323" s="193"/>
      <c r="AS323" s="99"/>
      <c r="AT323" s="99"/>
      <c r="AU323" s="193"/>
      <c r="AV323" s="99" t="s">
        <v>1001</v>
      </c>
      <c r="AW323" s="99" t="s">
        <v>1002</v>
      </c>
      <c r="AX323" s="96" t="s">
        <v>2513</v>
      </c>
      <c r="AY323" s="167">
        <f t="shared" si="138"/>
        <v>7.9980338547632467E-6</v>
      </c>
      <c r="AZ323" s="139">
        <f t="shared" si="113"/>
        <v>1</v>
      </c>
      <c r="BA323" s="139">
        <f>IF(T323="Invitación Privada",1,IF(T323="Invitación Pública",2,0))</f>
        <v>1</v>
      </c>
      <c r="BB323" s="132">
        <f>IF(AA323="CONTRATADO",IF(BA323=1,NETWORKDAYS.INTL(E323,AD323,1,[1]FESTIVOS!$B$3:$B$10)-1,AD323-E323))-BD323</f>
        <v>30</v>
      </c>
      <c r="BD323" s="207">
        <v>6</v>
      </c>
      <c r="BE323" s="208" t="s">
        <v>3888</v>
      </c>
    </row>
    <row r="324" spans="2:58" ht="43.9" customHeight="1" x14ac:dyDescent="0.25">
      <c r="B324" s="100">
        <f t="shared" si="110"/>
        <v>306</v>
      </c>
      <c r="C324" s="113" t="s">
        <v>2158</v>
      </c>
      <c r="D324" s="114" t="s">
        <v>28</v>
      </c>
      <c r="E324" s="153">
        <v>44733</v>
      </c>
      <c r="F324" s="268" t="s">
        <v>4436</v>
      </c>
      <c r="G324" s="115" t="s">
        <v>1529</v>
      </c>
      <c r="H324" s="115" t="s">
        <v>1530</v>
      </c>
      <c r="I324" s="115" t="s">
        <v>146</v>
      </c>
      <c r="J324" s="135" t="s">
        <v>1531</v>
      </c>
      <c r="K324" s="346">
        <v>134184400</v>
      </c>
      <c r="L324" s="114" t="s">
        <v>3119</v>
      </c>
      <c r="M324" s="114" t="s">
        <v>3505</v>
      </c>
      <c r="N324" s="114"/>
      <c r="O324" s="114">
        <v>202202921</v>
      </c>
      <c r="P324" s="177">
        <v>134184400</v>
      </c>
      <c r="Q324" s="115" t="s">
        <v>146</v>
      </c>
      <c r="R324" s="115" t="s">
        <v>146</v>
      </c>
      <c r="S324" s="114" t="s">
        <v>1561</v>
      </c>
      <c r="T324" s="111" t="s">
        <v>43</v>
      </c>
      <c r="U324" s="115" t="s">
        <v>312</v>
      </c>
      <c r="V324" s="153">
        <v>44733</v>
      </c>
      <c r="W324" s="178">
        <f>+$D$2-E324</f>
        <v>-44733</v>
      </c>
      <c r="X324" s="114">
        <f>$D$2-V324</f>
        <v>-44733</v>
      </c>
      <c r="Y324" s="114" t="s">
        <v>1317</v>
      </c>
      <c r="Z324" s="115" t="s">
        <v>168</v>
      </c>
      <c r="AA324" s="114" t="s">
        <v>169</v>
      </c>
      <c r="AB324" s="115" t="s">
        <v>3120</v>
      </c>
      <c r="AC324" s="99"/>
      <c r="AD324" s="154">
        <v>44757</v>
      </c>
      <c r="AE324" s="183" t="s">
        <v>4437</v>
      </c>
      <c r="AF324" s="171"/>
      <c r="AG324" s="178">
        <f>+AD324-E325</f>
        <v>24</v>
      </c>
      <c r="AH324" s="155">
        <f t="shared" si="139"/>
        <v>24</v>
      </c>
      <c r="AI324" s="114" t="s">
        <v>258</v>
      </c>
      <c r="AJ324" s="115" t="s">
        <v>155</v>
      </c>
      <c r="AK324" s="99" t="s">
        <v>3121</v>
      </c>
      <c r="AL324" s="119">
        <v>44749</v>
      </c>
      <c r="AM324" s="215">
        <v>134184400</v>
      </c>
      <c r="AN324" s="96" t="s">
        <v>3122</v>
      </c>
      <c r="AO324" s="99">
        <v>202207014</v>
      </c>
      <c r="AP324" s="181">
        <f t="shared" si="137"/>
        <v>0</v>
      </c>
      <c r="AQ324" s="138"/>
      <c r="AR324" s="138"/>
      <c r="AS324" s="114"/>
      <c r="AT324" s="114"/>
      <c r="AU324" s="138"/>
      <c r="AV324" s="114" t="s">
        <v>1000</v>
      </c>
      <c r="AW324" s="114" t="s">
        <v>692</v>
      </c>
      <c r="AX324" s="96" t="s">
        <v>2379</v>
      </c>
      <c r="AY324" s="167">
        <f t="shared" si="138"/>
        <v>0</v>
      </c>
      <c r="AZ324" s="139">
        <f t="shared" si="113"/>
        <v>1</v>
      </c>
      <c r="BA324" s="139">
        <f>IF(T324="Invitación Privada",1,IF(T324="Invitación Pública",2,0))</f>
        <v>1</v>
      </c>
      <c r="BB324" s="132">
        <f>IF(AA324="CONTRATADO",IF(BA324=1,NETWORKDAYS.INTL(E324,AD324,1,[1]FESTIVOS!$B$3:$B$10)-1,AD324-E324))-BD324</f>
        <v>18</v>
      </c>
      <c r="BC324" s="156"/>
      <c r="BD324" s="162"/>
      <c r="BE324" s="159"/>
    </row>
    <row r="325" spans="2:58" ht="43.9" customHeight="1" x14ac:dyDescent="0.25">
      <c r="B325" s="100">
        <f t="shared" si="110"/>
        <v>307</v>
      </c>
      <c r="C325" s="110" t="s">
        <v>2159</v>
      </c>
      <c r="D325" s="99" t="s">
        <v>661</v>
      </c>
      <c r="E325" s="189">
        <v>44733</v>
      </c>
      <c r="F325" s="268" t="s">
        <v>4436</v>
      </c>
      <c r="G325" s="195" t="s">
        <v>1983</v>
      </c>
      <c r="H325" s="96" t="s">
        <v>1984</v>
      </c>
      <c r="I325" s="96" t="s">
        <v>146</v>
      </c>
      <c r="J325" s="96" t="s">
        <v>1985</v>
      </c>
      <c r="K325" s="344">
        <v>165300000</v>
      </c>
      <c r="L325" s="188" t="s">
        <v>3025</v>
      </c>
      <c r="M325" s="99" t="s">
        <v>2470</v>
      </c>
      <c r="N325" s="99"/>
      <c r="O325" s="99">
        <v>202203583</v>
      </c>
      <c r="P325" s="190">
        <v>165300000</v>
      </c>
      <c r="Q325" s="96" t="s">
        <v>146</v>
      </c>
      <c r="R325" s="96" t="s">
        <v>146</v>
      </c>
      <c r="S325" s="99" t="s">
        <v>1561</v>
      </c>
      <c r="T325" s="111" t="s">
        <v>43</v>
      </c>
      <c r="U325" s="96" t="s">
        <v>312</v>
      </c>
      <c r="V325" s="189">
        <v>44733</v>
      </c>
      <c r="W325" s="186" t="e">
        <f>+$D$4-E325</f>
        <v>#VALUE!</v>
      </c>
      <c r="X325" s="99" t="e">
        <f>$D$4-V325</f>
        <v>#VALUE!</v>
      </c>
      <c r="Y325" s="99" t="s">
        <v>1317</v>
      </c>
      <c r="Z325" s="99" t="s">
        <v>168</v>
      </c>
      <c r="AA325" s="99" t="s">
        <v>169</v>
      </c>
      <c r="AB325" s="96" t="s">
        <v>2471</v>
      </c>
      <c r="AC325" s="99"/>
      <c r="AD325" s="205">
        <v>44819</v>
      </c>
      <c r="AE325" s="183" t="s">
        <v>4262</v>
      </c>
      <c r="AF325" s="183"/>
      <c r="AG325" s="186">
        <f>+AD325-E325</f>
        <v>86</v>
      </c>
      <c r="AH325" s="187">
        <f t="shared" si="139"/>
        <v>86</v>
      </c>
      <c r="AI325" s="99" t="s">
        <v>2472</v>
      </c>
      <c r="AJ325" s="96" t="s">
        <v>171</v>
      </c>
      <c r="AK325" s="99" t="s">
        <v>3699</v>
      </c>
      <c r="AL325" s="97">
        <v>44804</v>
      </c>
      <c r="AM325" s="209">
        <v>139144320</v>
      </c>
      <c r="AN325" s="96" t="s">
        <v>3700</v>
      </c>
      <c r="AO325" s="99">
        <v>202208286</v>
      </c>
      <c r="AP325" s="181">
        <f t="shared" si="137"/>
        <v>26155680</v>
      </c>
      <c r="AQ325" s="193"/>
      <c r="AR325" s="193"/>
      <c r="AS325" s="99"/>
      <c r="AT325" s="99"/>
      <c r="AU325" s="193"/>
      <c r="AV325" s="99" t="s">
        <v>1000</v>
      </c>
      <c r="AW325" s="99" t="s">
        <v>692</v>
      </c>
      <c r="AX325" s="96" t="s">
        <v>2407</v>
      </c>
      <c r="AY325" s="167">
        <f t="shared" si="138"/>
        <v>0.15823157894736842</v>
      </c>
      <c r="AZ325" s="139">
        <f t="shared" si="113"/>
        <v>0</v>
      </c>
      <c r="BA325" s="139">
        <f>IF(T325="Invitación Privada",1,IF(T325="Invitación Pública",2,0))</f>
        <v>1</v>
      </c>
      <c r="BB325" s="132">
        <f>IF(AA325="CONTRATADO",IF(BA325=1,NETWORKDAYS.INTL(E325,AD325,1,[1]FESTIVOS!$B$3:$B$10)-1,AD325-E325))-BD325</f>
        <v>34</v>
      </c>
      <c r="BD325" s="207">
        <f>4+16+8</f>
        <v>28</v>
      </c>
      <c r="BE325" s="208" t="s">
        <v>3906</v>
      </c>
    </row>
    <row r="326" spans="2:58" ht="43.9" customHeight="1" x14ac:dyDescent="0.25">
      <c r="B326" s="100">
        <f t="shared" si="110"/>
        <v>308</v>
      </c>
      <c r="C326" s="293" t="s">
        <v>4320</v>
      </c>
      <c r="D326" s="265" t="s">
        <v>28</v>
      </c>
      <c r="E326" s="272">
        <v>44726</v>
      </c>
      <c r="F326" s="268" t="s">
        <v>4436</v>
      </c>
      <c r="G326" s="269" t="s">
        <v>3920</v>
      </c>
      <c r="H326" s="265" t="s">
        <v>1621</v>
      </c>
      <c r="I326" s="265" t="s">
        <v>146</v>
      </c>
      <c r="J326" s="269" t="s">
        <v>1622</v>
      </c>
      <c r="K326" s="342">
        <v>299999952</v>
      </c>
      <c r="L326" s="282"/>
      <c r="M326" s="265" t="s">
        <v>2414</v>
      </c>
      <c r="N326" s="302" t="str">
        <f>MID(M326,5,3)</f>
        <v>IP-</v>
      </c>
      <c r="O326" s="265">
        <v>202201857</v>
      </c>
      <c r="P326" s="271"/>
      <c r="Q326" s="265" t="s">
        <v>146</v>
      </c>
      <c r="R326" s="265" t="s">
        <v>146</v>
      </c>
      <c r="S326" s="265" t="s">
        <v>1561</v>
      </c>
      <c r="T326" s="111" t="s">
        <v>43</v>
      </c>
      <c r="U326" s="269" t="s">
        <v>277</v>
      </c>
      <c r="V326" s="285">
        <v>44727</v>
      </c>
      <c r="W326" s="303" t="e">
        <f>+$D$4-E326</f>
        <v>#VALUE!</v>
      </c>
      <c r="X326" s="303" t="e">
        <f>$D$4-V326</f>
        <v>#VALUE!</v>
      </c>
      <c r="Y326" s="265" t="s">
        <v>1300</v>
      </c>
      <c r="Z326" s="265" t="s">
        <v>2415</v>
      </c>
      <c r="AA326" s="265" t="s">
        <v>153</v>
      </c>
      <c r="AB326" s="265"/>
      <c r="AC326" s="304" t="s">
        <v>2416</v>
      </c>
      <c r="AD326" s="285">
        <v>44740</v>
      </c>
      <c r="AE326" s="285"/>
      <c r="AF326" s="305" t="str">
        <f>+IF(AD326="","",TEXT(AD326,"mmm"))</f>
        <v>jun</v>
      </c>
      <c r="AG326" s="306">
        <f>+AD326-E326</f>
        <v>14</v>
      </c>
      <c r="AH326" s="307">
        <f t="shared" si="139"/>
        <v>13</v>
      </c>
      <c r="AI326" s="265"/>
      <c r="AJ326" s="265" t="s">
        <v>171</v>
      </c>
      <c r="AK326" s="265"/>
      <c r="AL326" s="265"/>
      <c r="AM326" s="265"/>
      <c r="AN326" s="309"/>
      <c r="AO326" s="269"/>
      <c r="AP326" s="265"/>
      <c r="AQ326" s="309"/>
      <c r="AR326" s="289"/>
      <c r="AS326" s="269"/>
      <c r="AT326" s="265"/>
      <c r="AU326" s="260"/>
      <c r="AV326" s="260"/>
      <c r="AW326" s="200"/>
      <c r="AX326" s="200"/>
      <c r="AY326" s="200"/>
      <c r="AZ326" s="139">
        <f t="shared" si="113"/>
        <v>1</v>
      </c>
      <c r="BA326" s="200"/>
      <c r="BB326" s="200"/>
      <c r="BC326" s="3"/>
      <c r="BD326" s="95"/>
      <c r="BE326" s="2"/>
    </row>
    <row r="327" spans="2:58" ht="43.9" customHeight="1" x14ac:dyDescent="0.25">
      <c r="B327" s="100">
        <f t="shared" si="110"/>
        <v>309</v>
      </c>
      <c r="C327" s="110" t="s">
        <v>2160</v>
      </c>
      <c r="D327" s="99" t="s">
        <v>33</v>
      </c>
      <c r="E327" s="142">
        <v>44727</v>
      </c>
      <c r="F327" s="268" t="s">
        <v>4436</v>
      </c>
      <c r="G327" s="96" t="s">
        <v>2161</v>
      </c>
      <c r="H327" s="96" t="s">
        <v>2162</v>
      </c>
      <c r="I327" s="96" t="s">
        <v>146</v>
      </c>
      <c r="J327" s="133" t="s">
        <v>2163</v>
      </c>
      <c r="K327" s="343">
        <v>39984000</v>
      </c>
      <c r="L327" s="99" t="s">
        <v>3013</v>
      </c>
      <c r="M327" s="99" t="s">
        <v>3123</v>
      </c>
      <c r="N327" s="99"/>
      <c r="O327" s="99">
        <v>202202996</v>
      </c>
      <c r="P327" s="169">
        <v>52255548</v>
      </c>
      <c r="Q327" s="96" t="s">
        <v>146</v>
      </c>
      <c r="R327" s="96" t="s">
        <v>146</v>
      </c>
      <c r="S327" s="99" t="s">
        <v>1561</v>
      </c>
      <c r="T327" s="111" t="s">
        <v>43</v>
      </c>
      <c r="U327" s="96" t="s">
        <v>624</v>
      </c>
      <c r="V327" s="119">
        <v>44727</v>
      </c>
      <c r="W327" s="170">
        <f>+$D$2-E327</f>
        <v>-44727</v>
      </c>
      <c r="X327" s="99">
        <f>$D$2-V327</f>
        <v>-44727</v>
      </c>
      <c r="Y327" s="99" t="s">
        <v>1317</v>
      </c>
      <c r="Z327" s="96" t="s">
        <v>168</v>
      </c>
      <c r="AA327" s="96" t="s">
        <v>169</v>
      </c>
      <c r="AB327" s="96" t="s">
        <v>3124</v>
      </c>
      <c r="AC327" s="99"/>
      <c r="AD327" s="119">
        <v>44771</v>
      </c>
      <c r="AE327" s="183" t="s">
        <v>4437</v>
      </c>
      <c r="AF327" s="171"/>
      <c r="AG327" s="170">
        <f>+AD327-E327</f>
        <v>44</v>
      </c>
      <c r="AH327" s="144">
        <f t="shared" si="139"/>
        <v>44</v>
      </c>
      <c r="AI327" s="99" t="s">
        <v>258</v>
      </c>
      <c r="AJ327" s="96" t="s">
        <v>171</v>
      </c>
      <c r="AK327" s="99" t="s">
        <v>3125</v>
      </c>
      <c r="AL327" s="97">
        <v>44763</v>
      </c>
      <c r="AM327" s="215">
        <v>37984800</v>
      </c>
      <c r="AN327" s="96" t="s">
        <v>3008</v>
      </c>
      <c r="AO327" s="99">
        <v>202207215</v>
      </c>
      <c r="AP327" s="181">
        <f t="shared" ref="AP327:AP346" si="140">+K327-AM327</f>
        <v>1999200</v>
      </c>
      <c r="AQ327" s="138"/>
      <c r="AR327" s="138"/>
      <c r="AS327" s="99"/>
      <c r="AT327" s="99"/>
      <c r="AU327" s="138"/>
      <c r="AV327" s="99" t="s">
        <v>174</v>
      </c>
      <c r="AW327" s="99" t="s">
        <v>175</v>
      </c>
      <c r="AX327" s="96" t="s">
        <v>2485</v>
      </c>
      <c r="AY327" s="167">
        <f t="shared" ref="AY327:AY346" si="141">+AP327/K327</f>
        <v>0.05</v>
      </c>
      <c r="AZ327" s="139">
        <f t="shared" si="113"/>
        <v>1</v>
      </c>
      <c r="BA327" s="139">
        <f t="shared" ref="BA327:BA346" si="142">IF(T327="Invitación Privada",1,IF(T327="Invitación Pública",2,0))</f>
        <v>1</v>
      </c>
      <c r="BB327" s="132">
        <f>IF(AA327="CONTRATADO",IF(BA327=1,NETWORKDAYS.INTL(E327,AD327,1,[1]FESTIVOS!$B$3:$B$10)-1,AD327-E327))-BD327</f>
        <v>23</v>
      </c>
      <c r="BC327" s="156"/>
      <c r="BD327" s="162">
        <v>9</v>
      </c>
      <c r="BE327" s="392" t="s">
        <v>3156</v>
      </c>
    </row>
    <row r="328" spans="2:58" ht="43.9" customHeight="1" x14ac:dyDescent="0.25">
      <c r="B328" s="100">
        <f t="shared" si="110"/>
        <v>310</v>
      </c>
      <c r="C328" s="110" t="s">
        <v>2164</v>
      </c>
      <c r="D328" s="99" t="s">
        <v>28</v>
      </c>
      <c r="E328" s="189">
        <v>44727</v>
      </c>
      <c r="F328" s="268" t="s">
        <v>4436</v>
      </c>
      <c r="G328" s="96" t="s">
        <v>2165</v>
      </c>
      <c r="H328" s="96" t="s">
        <v>2166</v>
      </c>
      <c r="I328" s="96" t="s">
        <v>146</v>
      </c>
      <c r="J328" s="96" t="s">
        <v>2167</v>
      </c>
      <c r="K328" s="344">
        <v>152050000</v>
      </c>
      <c r="L328" s="188" t="s">
        <v>3025</v>
      </c>
      <c r="M328" s="194" t="s">
        <v>2473</v>
      </c>
      <c r="N328" s="194"/>
      <c r="O328" s="99">
        <v>202203562</v>
      </c>
      <c r="P328" s="190">
        <v>152050000</v>
      </c>
      <c r="Q328" s="96" t="s">
        <v>146</v>
      </c>
      <c r="R328" s="96" t="s">
        <v>146</v>
      </c>
      <c r="S328" s="99" t="s">
        <v>1561</v>
      </c>
      <c r="T328" s="111" t="s">
        <v>43</v>
      </c>
      <c r="U328" s="96" t="s">
        <v>277</v>
      </c>
      <c r="V328" s="192">
        <v>44728</v>
      </c>
      <c r="W328" s="186" t="e">
        <f>+$D$4-E328</f>
        <v>#VALUE!</v>
      </c>
      <c r="X328" s="99" t="e">
        <f>$D$4-V328</f>
        <v>#VALUE!</v>
      </c>
      <c r="Y328" s="99" t="s">
        <v>1317</v>
      </c>
      <c r="Z328" s="99" t="s">
        <v>168</v>
      </c>
      <c r="AA328" s="99" t="s">
        <v>169</v>
      </c>
      <c r="AB328" s="96" t="s">
        <v>2474</v>
      </c>
      <c r="AC328" s="99"/>
      <c r="AD328" s="97">
        <v>44812</v>
      </c>
      <c r="AE328" s="183" t="s">
        <v>4262</v>
      </c>
      <c r="AF328" s="183"/>
      <c r="AG328" s="186">
        <f>+AD328-E328</f>
        <v>85</v>
      </c>
      <c r="AH328" s="187">
        <f t="shared" si="139"/>
        <v>84</v>
      </c>
      <c r="AI328" s="99" t="s">
        <v>258</v>
      </c>
      <c r="AJ328" s="96" t="s">
        <v>155</v>
      </c>
      <c r="AK328" s="99" t="s">
        <v>3701</v>
      </c>
      <c r="AL328" s="97">
        <v>44784</v>
      </c>
      <c r="AM328" s="209">
        <v>152049857</v>
      </c>
      <c r="AN328" s="96" t="s">
        <v>3702</v>
      </c>
      <c r="AO328" s="99">
        <v>202207800</v>
      </c>
      <c r="AP328" s="181">
        <f t="shared" si="140"/>
        <v>143</v>
      </c>
      <c r="AQ328" s="193"/>
      <c r="AR328" s="193"/>
      <c r="AS328" s="99"/>
      <c r="AT328" s="99"/>
      <c r="AU328" s="193"/>
      <c r="AV328" s="99" t="s">
        <v>1000</v>
      </c>
      <c r="AW328" s="99" t="s">
        <v>692</v>
      </c>
      <c r="AX328" s="96" t="s">
        <v>2381</v>
      </c>
      <c r="AY328" s="167">
        <f t="shared" si="141"/>
        <v>9.4048010522854323E-7</v>
      </c>
      <c r="AZ328" s="139">
        <f t="shared" si="113"/>
        <v>1</v>
      </c>
      <c r="BA328" s="139">
        <f t="shared" si="142"/>
        <v>1</v>
      </c>
      <c r="BB328" s="132">
        <f>IF(AA328="CONTRATADO",IF(BA328=1,NETWORKDAYS.INTL(E328,AD328,1,[1]FESTIVOS!$B$3:$B$10)-1,AD328-E328))-BD328</f>
        <v>29</v>
      </c>
      <c r="BD328" s="207">
        <f>17+3+12</f>
        <v>32</v>
      </c>
      <c r="BE328" s="208" t="s">
        <v>3895</v>
      </c>
    </row>
    <row r="329" spans="2:58" ht="43.9" customHeight="1" x14ac:dyDescent="0.25">
      <c r="B329" s="100">
        <f t="shared" si="110"/>
        <v>311</v>
      </c>
      <c r="C329" s="110" t="s">
        <v>2168</v>
      </c>
      <c r="D329" s="99" t="s">
        <v>28</v>
      </c>
      <c r="E329" s="142">
        <v>44729</v>
      </c>
      <c r="F329" s="268" t="s">
        <v>4436</v>
      </c>
      <c r="G329" s="96" t="s">
        <v>2169</v>
      </c>
      <c r="H329" s="96" t="s">
        <v>2170</v>
      </c>
      <c r="I329" s="96" t="s">
        <v>146</v>
      </c>
      <c r="J329" s="133" t="s">
        <v>2171</v>
      </c>
      <c r="K329" s="343">
        <v>180000000</v>
      </c>
      <c r="L329" s="99" t="s">
        <v>3030</v>
      </c>
      <c r="M329" s="99" t="s">
        <v>3031</v>
      </c>
      <c r="N329" s="99"/>
      <c r="O329" s="99">
        <v>202202969</v>
      </c>
      <c r="P329" s="168">
        <v>180000000</v>
      </c>
      <c r="Q329" s="96" t="s">
        <v>146</v>
      </c>
      <c r="R329" s="96" t="s">
        <v>146</v>
      </c>
      <c r="S329" s="99" t="s">
        <v>146</v>
      </c>
      <c r="T329" s="111" t="s">
        <v>43</v>
      </c>
      <c r="U329" s="96" t="s">
        <v>572</v>
      </c>
      <c r="V329" s="142">
        <v>44729</v>
      </c>
      <c r="W329" s="170">
        <v>89</v>
      </c>
      <c r="X329" s="99">
        <v>89</v>
      </c>
      <c r="Y329" s="99" t="s">
        <v>1317</v>
      </c>
      <c r="Z329" s="99" t="s">
        <v>168</v>
      </c>
      <c r="AA329" s="99" t="s">
        <v>169</v>
      </c>
      <c r="AB329" s="96" t="s">
        <v>2488</v>
      </c>
      <c r="AC329" s="99"/>
      <c r="AD329" s="97">
        <v>44781</v>
      </c>
      <c r="AE329" s="183" t="s">
        <v>4438</v>
      </c>
      <c r="AF329" s="171"/>
      <c r="AG329" s="170">
        <v>52</v>
      </c>
      <c r="AH329" s="144">
        <v>52</v>
      </c>
      <c r="AI329" s="99" t="s">
        <v>258</v>
      </c>
      <c r="AJ329" s="96" t="s">
        <v>155</v>
      </c>
      <c r="AK329" s="99" t="s">
        <v>3032</v>
      </c>
      <c r="AL329" s="97">
        <v>44757</v>
      </c>
      <c r="AM329" s="215">
        <v>180000000</v>
      </c>
      <c r="AN329" s="96" t="s">
        <v>3033</v>
      </c>
      <c r="AO329" s="99">
        <v>202207153</v>
      </c>
      <c r="AP329" s="181">
        <f t="shared" si="140"/>
        <v>0</v>
      </c>
      <c r="AQ329" s="138"/>
      <c r="AR329" s="138"/>
      <c r="AS329" s="99"/>
      <c r="AT329" s="99"/>
      <c r="AU329" s="138"/>
      <c r="AV329" s="99" t="s">
        <v>1000</v>
      </c>
      <c r="AW329" s="99" t="s">
        <v>692</v>
      </c>
      <c r="AX329" s="96" t="s">
        <v>2513</v>
      </c>
      <c r="AY329" s="167">
        <f t="shared" si="141"/>
        <v>0</v>
      </c>
      <c r="AZ329" s="139">
        <f t="shared" si="113"/>
        <v>1</v>
      </c>
      <c r="BA329" s="139">
        <f t="shared" si="142"/>
        <v>1</v>
      </c>
      <c r="BB329" s="132">
        <f>IF(AA329="CONTRATADO",IF(BA329=1,NETWORKDAYS.INTL(E329,AD329,1,[1]FESTIVOS!$B$3:$B$10)-1,AD329-E329))-BD329</f>
        <v>28</v>
      </c>
      <c r="BC329" s="156"/>
      <c r="BD329" s="162">
        <v>8</v>
      </c>
      <c r="BE329" s="163" t="s">
        <v>3528</v>
      </c>
    </row>
    <row r="330" spans="2:58" ht="43.9" customHeight="1" x14ac:dyDescent="0.25">
      <c r="B330" s="100">
        <f t="shared" si="110"/>
        <v>312</v>
      </c>
      <c r="C330" s="110" t="s">
        <v>2172</v>
      </c>
      <c r="D330" s="99" t="s">
        <v>28</v>
      </c>
      <c r="E330" s="142">
        <v>44729</v>
      </c>
      <c r="F330" s="268" t="s">
        <v>4436</v>
      </c>
      <c r="G330" s="96" t="s">
        <v>2173</v>
      </c>
      <c r="H330" s="96" t="s">
        <v>2174</v>
      </c>
      <c r="I330" s="96" t="s">
        <v>146</v>
      </c>
      <c r="J330" s="133" t="s">
        <v>2175</v>
      </c>
      <c r="K330" s="343">
        <v>34998614</v>
      </c>
      <c r="L330" s="138" t="s">
        <v>3020</v>
      </c>
      <c r="M330" s="99" t="s">
        <v>2475</v>
      </c>
      <c r="N330" s="99"/>
      <c r="O330" s="99">
        <v>202202243</v>
      </c>
      <c r="P330" s="169"/>
      <c r="Q330" s="99" t="s">
        <v>146</v>
      </c>
      <c r="R330" s="99" t="s">
        <v>146</v>
      </c>
      <c r="S330" s="99" t="s">
        <v>146</v>
      </c>
      <c r="T330" s="111" t="s">
        <v>43</v>
      </c>
      <c r="U330" s="96" t="s">
        <v>624</v>
      </c>
      <c r="V330" s="119">
        <v>44733</v>
      </c>
      <c r="W330" s="170">
        <f>+$D$2-E330</f>
        <v>-44729</v>
      </c>
      <c r="X330" s="99">
        <f>$D$2-V330</f>
        <v>-44733</v>
      </c>
      <c r="Y330" s="99" t="s">
        <v>1317</v>
      </c>
      <c r="Z330" s="99" t="s">
        <v>168</v>
      </c>
      <c r="AA330" s="99" t="s">
        <v>169</v>
      </c>
      <c r="AB330" s="96" t="s">
        <v>2476</v>
      </c>
      <c r="AC330" s="99"/>
      <c r="AD330" s="97">
        <v>44789</v>
      </c>
      <c r="AE330" s="183" t="s">
        <v>4438</v>
      </c>
      <c r="AF330" s="171"/>
      <c r="AG330" s="170">
        <f>+AD330-E330</f>
        <v>60</v>
      </c>
      <c r="AH330" s="144">
        <f>+AD330-V330</f>
        <v>56</v>
      </c>
      <c r="AI330" s="99" t="s">
        <v>258</v>
      </c>
      <c r="AJ330" s="96" t="s">
        <v>171</v>
      </c>
      <c r="AK330" s="99" t="s">
        <v>3169</v>
      </c>
      <c r="AL330" s="97">
        <v>44767</v>
      </c>
      <c r="AM330" s="215">
        <v>34998614</v>
      </c>
      <c r="AN330" s="96" t="s">
        <v>3170</v>
      </c>
      <c r="AO330" s="99">
        <v>202207267</v>
      </c>
      <c r="AP330" s="181">
        <f t="shared" si="140"/>
        <v>0</v>
      </c>
      <c r="AQ330" s="138"/>
      <c r="AR330" s="138"/>
      <c r="AS330" s="99"/>
      <c r="AT330" s="99"/>
      <c r="AU330" s="138"/>
      <c r="AV330" s="99" t="s">
        <v>3171</v>
      </c>
      <c r="AW330" s="99" t="s">
        <v>175</v>
      </c>
      <c r="AX330" s="96" t="s">
        <v>2477</v>
      </c>
      <c r="AY330" s="167">
        <f t="shared" si="141"/>
        <v>0</v>
      </c>
      <c r="AZ330" s="139">
        <f t="shared" si="113"/>
        <v>1</v>
      </c>
      <c r="BA330" s="139">
        <f t="shared" si="142"/>
        <v>1</v>
      </c>
      <c r="BB330" s="132">
        <f>IF(AA330="CONTRATADO",IF(BA330=1,NETWORKDAYS.INTL(E330,AD330,1,[1]FESTIVOS!$B$3:$B$10)-1,AD330-E330))-BD330</f>
        <v>42</v>
      </c>
      <c r="BC330" s="156"/>
      <c r="BD330" s="158"/>
      <c r="BE330" s="159"/>
    </row>
    <row r="331" spans="2:58" ht="43.9" customHeight="1" x14ac:dyDescent="0.25">
      <c r="B331" s="100">
        <f t="shared" si="110"/>
        <v>313</v>
      </c>
      <c r="C331" s="110" t="s">
        <v>2176</v>
      </c>
      <c r="D331" s="99" t="s">
        <v>28</v>
      </c>
      <c r="E331" s="142">
        <v>44729</v>
      </c>
      <c r="F331" s="268" t="s">
        <v>4436</v>
      </c>
      <c r="G331" s="96" t="s">
        <v>2177</v>
      </c>
      <c r="H331" s="96" t="s">
        <v>2178</v>
      </c>
      <c r="I331" s="96" t="s">
        <v>146</v>
      </c>
      <c r="J331" s="133" t="s">
        <v>2179</v>
      </c>
      <c r="K331" s="343">
        <v>12389330</v>
      </c>
      <c r="L331" s="99" t="s">
        <v>549</v>
      </c>
      <c r="M331" s="99" t="s">
        <v>2478</v>
      </c>
      <c r="N331" s="99"/>
      <c r="O331" s="99">
        <v>202202241</v>
      </c>
      <c r="P331" s="180">
        <v>12389330</v>
      </c>
      <c r="Q331" s="99" t="s">
        <v>146</v>
      </c>
      <c r="R331" s="99" t="s">
        <v>146</v>
      </c>
      <c r="S331" s="99" t="s">
        <v>146</v>
      </c>
      <c r="T331" s="111" t="s">
        <v>43</v>
      </c>
      <c r="U331" s="96" t="s">
        <v>624</v>
      </c>
      <c r="V331" s="119">
        <v>44733</v>
      </c>
      <c r="W331" s="170">
        <v>89</v>
      </c>
      <c r="X331" s="99">
        <v>85</v>
      </c>
      <c r="Y331" s="99" t="s">
        <v>1317</v>
      </c>
      <c r="Z331" s="99" t="s">
        <v>168</v>
      </c>
      <c r="AA331" s="99" t="s">
        <v>169</v>
      </c>
      <c r="AB331" s="96" t="s">
        <v>2479</v>
      </c>
      <c r="AC331" s="99"/>
      <c r="AD331" s="97">
        <v>44802</v>
      </c>
      <c r="AE331" s="183" t="s">
        <v>4438</v>
      </c>
      <c r="AF331" s="171"/>
      <c r="AG331" s="170">
        <v>73</v>
      </c>
      <c r="AH331" s="144">
        <v>69</v>
      </c>
      <c r="AI331" s="99" t="s">
        <v>241</v>
      </c>
      <c r="AJ331" s="96" t="s">
        <v>171</v>
      </c>
      <c r="AK331" s="99" t="s">
        <v>3421</v>
      </c>
      <c r="AL331" s="97">
        <v>44784</v>
      </c>
      <c r="AM331" s="215">
        <v>12389330</v>
      </c>
      <c r="AN331" s="96" t="s">
        <v>3422</v>
      </c>
      <c r="AO331" s="99">
        <v>202207813</v>
      </c>
      <c r="AP331" s="181">
        <f t="shared" si="140"/>
        <v>0</v>
      </c>
      <c r="AQ331" s="138"/>
      <c r="AR331" s="138"/>
      <c r="AS331" s="99"/>
      <c r="AT331" s="99"/>
      <c r="AU331" s="138"/>
      <c r="AV331" s="99" t="s">
        <v>1000</v>
      </c>
      <c r="AW331" s="99" t="s">
        <v>692</v>
      </c>
      <c r="AX331" s="96" t="s">
        <v>2477</v>
      </c>
      <c r="AY331" s="167">
        <f t="shared" si="141"/>
        <v>0</v>
      </c>
      <c r="AZ331" s="139">
        <f t="shared" si="113"/>
        <v>1</v>
      </c>
      <c r="BA331" s="139">
        <f t="shared" si="142"/>
        <v>1</v>
      </c>
      <c r="BB331" s="132">
        <f>IF(AA331="CONTRATADO",IF(BA331=1,NETWORKDAYS.INTL(E331,AD331,1,[1]FESTIVOS!$B$3:$B$10)-1,AD331-E331))-BD331</f>
        <v>34</v>
      </c>
      <c r="BC331" s="156"/>
      <c r="BD331" s="162">
        <f>5+5+2+5</f>
        <v>17</v>
      </c>
      <c r="BE331" s="163" t="s">
        <v>3522</v>
      </c>
    </row>
    <row r="332" spans="2:58" ht="43.9" customHeight="1" x14ac:dyDescent="0.25">
      <c r="B332" s="100">
        <f t="shared" si="110"/>
        <v>314</v>
      </c>
      <c r="C332" s="110" t="s">
        <v>2180</v>
      </c>
      <c r="D332" s="99" t="s">
        <v>28</v>
      </c>
      <c r="E332" s="189">
        <v>44729</v>
      </c>
      <c r="F332" s="268" t="s">
        <v>4436</v>
      </c>
      <c r="G332" s="96" t="s">
        <v>2181</v>
      </c>
      <c r="H332" s="96" t="s">
        <v>2182</v>
      </c>
      <c r="I332" s="96" t="s">
        <v>146</v>
      </c>
      <c r="J332" s="133" t="s">
        <v>2183</v>
      </c>
      <c r="K332" s="347">
        <v>15777015</v>
      </c>
      <c r="L332" s="194" t="s">
        <v>549</v>
      </c>
      <c r="M332" s="99" t="s">
        <v>2480</v>
      </c>
      <c r="N332" s="99"/>
      <c r="O332" s="99">
        <v>202202240</v>
      </c>
      <c r="P332" s="185"/>
      <c r="Q332" s="96" t="s">
        <v>146</v>
      </c>
      <c r="R332" s="96" t="s">
        <v>146</v>
      </c>
      <c r="S332" s="99" t="s">
        <v>146</v>
      </c>
      <c r="T332" s="111" t="s">
        <v>43</v>
      </c>
      <c r="U332" s="96" t="s">
        <v>572</v>
      </c>
      <c r="V332" s="189">
        <v>44729</v>
      </c>
      <c r="W332" s="186" t="e">
        <f>+$D$4-E332</f>
        <v>#VALUE!</v>
      </c>
      <c r="X332" s="99" t="e">
        <f>$D$4-V332</f>
        <v>#VALUE!</v>
      </c>
      <c r="Y332" s="99" t="s">
        <v>1317</v>
      </c>
      <c r="Z332" s="99" t="s">
        <v>168</v>
      </c>
      <c r="AA332" s="99" t="s">
        <v>169</v>
      </c>
      <c r="AB332" s="96" t="s">
        <v>2481</v>
      </c>
      <c r="AC332" s="99"/>
      <c r="AD332" s="97">
        <v>44817</v>
      </c>
      <c r="AE332" s="183" t="s">
        <v>4262</v>
      </c>
      <c r="AF332" s="183"/>
      <c r="AG332" s="186">
        <f>+AD332-E332</f>
        <v>88</v>
      </c>
      <c r="AH332" s="187">
        <f>+AD332-V332</f>
        <v>88</v>
      </c>
      <c r="AI332" s="99" t="s">
        <v>258</v>
      </c>
      <c r="AJ332" s="96" t="s">
        <v>171</v>
      </c>
      <c r="AK332" s="99" t="s">
        <v>3703</v>
      </c>
      <c r="AL332" s="97">
        <v>44804</v>
      </c>
      <c r="AM332" s="209">
        <v>15777015</v>
      </c>
      <c r="AN332" s="96" t="s">
        <v>3704</v>
      </c>
      <c r="AO332" s="99">
        <v>202208249</v>
      </c>
      <c r="AP332" s="181">
        <f t="shared" si="140"/>
        <v>0</v>
      </c>
      <c r="AQ332" s="193"/>
      <c r="AR332" s="193"/>
      <c r="AS332" s="99"/>
      <c r="AT332" s="99"/>
      <c r="AU332" s="193"/>
      <c r="AV332" s="99" t="s">
        <v>1000</v>
      </c>
      <c r="AW332" s="99" t="s">
        <v>692</v>
      </c>
      <c r="AX332" s="96" t="s">
        <v>2477</v>
      </c>
      <c r="AY332" s="167">
        <f t="shared" si="141"/>
        <v>0</v>
      </c>
      <c r="AZ332" s="139">
        <f t="shared" si="113"/>
        <v>1</v>
      </c>
      <c r="BA332" s="139">
        <f t="shared" si="142"/>
        <v>1</v>
      </c>
      <c r="BB332" s="132">
        <f>IF(AA332="CONTRATADO",IF(BA332=1,NETWORKDAYS.INTL(E332,AD332,1,[1]FESTIVOS!$B$3:$B$10)-1,AD332-E332))-BD332</f>
        <v>46</v>
      </c>
      <c r="BD332" s="207">
        <v>16</v>
      </c>
      <c r="BE332" s="208" t="s">
        <v>3902</v>
      </c>
    </row>
    <row r="333" spans="2:58" ht="43.9" customHeight="1" x14ac:dyDescent="0.25">
      <c r="B333" s="100">
        <f t="shared" si="110"/>
        <v>315</v>
      </c>
      <c r="C333" s="110" t="s">
        <v>2184</v>
      </c>
      <c r="D333" s="99" t="s">
        <v>28</v>
      </c>
      <c r="E333" s="142">
        <v>44729</v>
      </c>
      <c r="F333" s="268" t="s">
        <v>4436</v>
      </c>
      <c r="G333" s="96" t="s">
        <v>2185</v>
      </c>
      <c r="H333" s="96" t="s">
        <v>2186</v>
      </c>
      <c r="I333" s="96" t="s">
        <v>146</v>
      </c>
      <c r="J333" s="133" t="s">
        <v>2187</v>
      </c>
      <c r="K333" s="343">
        <v>5972207</v>
      </c>
      <c r="L333" s="138"/>
      <c r="M333" s="99" t="s">
        <v>2482</v>
      </c>
      <c r="N333" s="99"/>
      <c r="O333" s="99">
        <v>202202239</v>
      </c>
      <c r="P333" s="169"/>
      <c r="Q333" s="99"/>
      <c r="R333" s="99"/>
      <c r="S333" s="99" t="s">
        <v>146</v>
      </c>
      <c r="T333" s="111" t="s">
        <v>43</v>
      </c>
      <c r="U333" s="96" t="s">
        <v>503</v>
      </c>
      <c r="V333" s="99"/>
      <c r="W333" s="170">
        <v>89</v>
      </c>
      <c r="X333" s="99">
        <v>44818</v>
      </c>
      <c r="Y333" s="99" t="s">
        <v>1317</v>
      </c>
      <c r="Z333" s="99" t="s">
        <v>168</v>
      </c>
      <c r="AA333" s="99" t="s">
        <v>169</v>
      </c>
      <c r="AB333" s="96" t="s">
        <v>2483</v>
      </c>
      <c r="AC333" s="99"/>
      <c r="AD333" s="97">
        <v>44789</v>
      </c>
      <c r="AE333" s="183" t="s">
        <v>4438</v>
      </c>
      <c r="AF333" s="171"/>
      <c r="AG333" s="170">
        <v>60</v>
      </c>
      <c r="AH333" s="144">
        <v>44789</v>
      </c>
      <c r="AI333" s="99" t="s">
        <v>258</v>
      </c>
      <c r="AJ333" s="96" t="s">
        <v>171</v>
      </c>
      <c r="AK333" s="99" t="s">
        <v>3423</v>
      </c>
      <c r="AL333" s="97">
        <v>44768</v>
      </c>
      <c r="AM333" s="215">
        <v>5972207</v>
      </c>
      <c r="AN333" s="96" t="s">
        <v>3424</v>
      </c>
      <c r="AO333" s="99">
        <v>202207237</v>
      </c>
      <c r="AP333" s="181">
        <f t="shared" si="140"/>
        <v>0</v>
      </c>
      <c r="AQ333" s="138"/>
      <c r="AR333" s="138"/>
      <c r="AS333" s="99"/>
      <c r="AT333" s="99"/>
      <c r="AU333" s="138"/>
      <c r="AV333" s="99" t="s">
        <v>1000</v>
      </c>
      <c r="AW333" s="99" t="s">
        <v>692</v>
      </c>
      <c r="AX333" s="96" t="s">
        <v>2477</v>
      </c>
      <c r="AY333" s="167">
        <f t="shared" si="141"/>
        <v>0</v>
      </c>
      <c r="AZ333" s="139">
        <f t="shared" si="113"/>
        <v>1</v>
      </c>
      <c r="BA333" s="139">
        <f t="shared" si="142"/>
        <v>1</v>
      </c>
      <c r="BB333" s="132">
        <f>IF(AA333="CONTRATADO",IF(BA333=1,NETWORKDAYS.INTL(E333,AD333,1,[1]FESTIVOS!$B$3:$B$10)-1,AD333-E333))-BD333</f>
        <v>42</v>
      </c>
      <c r="BC333" s="156"/>
      <c r="BD333" s="162"/>
      <c r="BE333" s="163"/>
    </row>
    <row r="334" spans="2:58" ht="43.9" customHeight="1" x14ac:dyDescent="0.25">
      <c r="B334" s="100">
        <f t="shared" si="110"/>
        <v>316</v>
      </c>
      <c r="C334" s="110" t="s">
        <v>2188</v>
      </c>
      <c r="D334" s="99" t="s">
        <v>28</v>
      </c>
      <c r="E334" s="142">
        <v>44729</v>
      </c>
      <c r="F334" s="268" t="s">
        <v>4436</v>
      </c>
      <c r="G334" s="96" t="s">
        <v>2189</v>
      </c>
      <c r="H334" s="96" t="s">
        <v>2190</v>
      </c>
      <c r="I334" s="96" t="s">
        <v>146</v>
      </c>
      <c r="J334" s="133" t="s">
        <v>2191</v>
      </c>
      <c r="K334" s="343">
        <v>354975991</v>
      </c>
      <c r="L334" s="138" t="s">
        <v>253</v>
      </c>
      <c r="M334" s="96" t="s">
        <v>3126</v>
      </c>
      <c r="N334" s="96"/>
      <c r="O334" s="99">
        <v>202204434</v>
      </c>
      <c r="P334" s="168">
        <v>354975991</v>
      </c>
      <c r="Q334" s="99" t="s">
        <v>146</v>
      </c>
      <c r="R334" s="99" t="s">
        <v>146</v>
      </c>
      <c r="S334" s="99" t="s">
        <v>146</v>
      </c>
      <c r="T334" s="111" t="s">
        <v>43</v>
      </c>
      <c r="U334" s="96" t="s">
        <v>312</v>
      </c>
      <c r="V334" s="153">
        <v>44733</v>
      </c>
      <c r="W334" s="170">
        <f>+$D$2-E334</f>
        <v>-44729</v>
      </c>
      <c r="X334" s="99">
        <f>$D$2-V334</f>
        <v>-44733</v>
      </c>
      <c r="Y334" s="99" t="s">
        <v>1755</v>
      </c>
      <c r="Z334" s="96" t="s">
        <v>168</v>
      </c>
      <c r="AA334" s="99" t="s">
        <v>169</v>
      </c>
      <c r="AB334" s="96"/>
      <c r="AC334" s="99"/>
      <c r="AD334" s="97">
        <v>44760</v>
      </c>
      <c r="AE334" s="183" t="s">
        <v>4437</v>
      </c>
      <c r="AF334" s="99"/>
      <c r="AG334" s="99"/>
      <c r="AH334" s="99"/>
      <c r="AI334" s="99" t="s">
        <v>258</v>
      </c>
      <c r="AJ334" s="96" t="s">
        <v>171</v>
      </c>
      <c r="AK334" s="99" t="s">
        <v>3127</v>
      </c>
      <c r="AL334" s="97">
        <v>44736</v>
      </c>
      <c r="AM334" s="215">
        <v>354975991</v>
      </c>
      <c r="AN334" s="96" t="s">
        <v>3128</v>
      </c>
      <c r="AO334" s="99"/>
      <c r="AP334" s="181">
        <f t="shared" si="140"/>
        <v>0</v>
      </c>
      <c r="AQ334" s="138"/>
      <c r="AR334" s="138"/>
      <c r="AS334" s="99"/>
      <c r="AT334" s="99"/>
      <c r="AU334" s="138"/>
      <c r="AV334" s="99" t="s">
        <v>174</v>
      </c>
      <c r="AW334" s="99" t="s">
        <v>175</v>
      </c>
      <c r="AX334" s="96" t="s">
        <v>2513</v>
      </c>
      <c r="AY334" s="167">
        <f t="shared" si="141"/>
        <v>0</v>
      </c>
      <c r="AZ334" s="139">
        <f t="shared" si="113"/>
        <v>1</v>
      </c>
      <c r="BA334" s="139">
        <f t="shared" si="142"/>
        <v>1</v>
      </c>
      <c r="BB334" s="132">
        <f>IF(AA334="CONTRATADO",IF(BA334=1,NETWORKDAYS.INTL(E334,AD334,1,[1]FESTIVOS!$B$3:$B$10)-1,AD334-E334))-BD334</f>
        <v>21</v>
      </c>
      <c r="BC334" s="156"/>
      <c r="BD334" s="162"/>
      <c r="BE334" s="163"/>
    </row>
    <row r="335" spans="2:58" ht="43.9" customHeight="1" x14ac:dyDescent="0.25">
      <c r="B335" s="100">
        <f t="shared" si="110"/>
        <v>317</v>
      </c>
      <c r="C335" s="110" t="s">
        <v>2192</v>
      </c>
      <c r="D335" s="99" t="s">
        <v>28</v>
      </c>
      <c r="E335" s="142">
        <v>44729</v>
      </c>
      <c r="F335" s="268" t="s">
        <v>4436</v>
      </c>
      <c r="G335" s="96" t="s">
        <v>2193</v>
      </c>
      <c r="H335" s="96" t="s">
        <v>2194</v>
      </c>
      <c r="I335" s="96" t="s">
        <v>146</v>
      </c>
      <c r="J335" s="133" t="s">
        <v>2195</v>
      </c>
      <c r="K335" s="343">
        <v>449888440</v>
      </c>
      <c r="L335" s="138"/>
      <c r="M335" s="96" t="s">
        <v>3005</v>
      </c>
      <c r="N335" s="96"/>
      <c r="O335" s="99">
        <v>202204435</v>
      </c>
      <c r="P335" s="169"/>
      <c r="Q335" s="96" t="s">
        <v>146</v>
      </c>
      <c r="R335" s="96" t="s">
        <v>146</v>
      </c>
      <c r="S335" s="99" t="s">
        <v>146</v>
      </c>
      <c r="T335" s="111" t="s">
        <v>43</v>
      </c>
      <c r="U335" s="96" t="s">
        <v>312</v>
      </c>
      <c r="V335" s="142">
        <v>44733</v>
      </c>
      <c r="W335" s="170">
        <v>89</v>
      </c>
      <c r="X335" s="99">
        <v>85</v>
      </c>
      <c r="Y335" s="99" t="s">
        <v>1317</v>
      </c>
      <c r="Z335" s="99" t="s">
        <v>168</v>
      </c>
      <c r="AA335" s="99" t="s">
        <v>169</v>
      </c>
      <c r="AB335" s="96"/>
      <c r="AC335" s="99"/>
      <c r="AD335" s="97">
        <v>44747</v>
      </c>
      <c r="AE335" s="183" t="s">
        <v>4438</v>
      </c>
      <c r="AF335" s="171"/>
      <c r="AG335" s="170">
        <v>-44729</v>
      </c>
      <c r="AH335" s="144">
        <v>-44733</v>
      </c>
      <c r="AI335" s="99" t="s">
        <v>258</v>
      </c>
      <c r="AJ335" s="96" t="s">
        <v>171</v>
      </c>
      <c r="AK335" s="96" t="s">
        <v>3425</v>
      </c>
      <c r="AL335" s="99"/>
      <c r="AM335" s="215">
        <v>448908750</v>
      </c>
      <c r="AN335" s="96" t="s">
        <v>3426</v>
      </c>
      <c r="AO335" s="99">
        <v>202205849</v>
      </c>
      <c r="AP335" s="181">
        <f t="shared" si="140"/>
        <v>979690</v>
      </c>
      <c r="AQ335" s="138"/>
      <c r="AR335" s="138"/>
      <c r="AS335" s="99"/>
      <c r="AT335" s="99"/>
      <c r="AU335" s="138"/>
      <c r="AV335" s="99" t="s">
        <v>174</v>
      </c>
      <c r="AW335" s="99" t="s">
        <v>175</v>
      </c>
      <c r="AX335" s="96" t="s">
        <v>2723</v>
      </c>
      <c r="AY335" s="167">
        <f t="shared" si="141"/>
        <v>2.1776287472512076E-3</v>
      </c>
      <c r="AZ335" s="139">
        <f t="shared" si="113"/>
        <v>1</v>
      </c>
      <c r="BA335" s="139">
        <f t="shared" si="142"/>
        <v>1</v>
      </c>
      <c r="BB335" s="132">
        <f>IF(AA335="CONTRATADO",IF(BA335=1,NETWORKDAYS.INTL(E335,AD335,1,[1]FESTIVOS!$B$3:$B$10)-1,AD335-E335))-BD335</f>
        <v>12</v>
      </c>
      <c r="BC335" s="156"/>
      <c r="BD335" s="162"/>
      <c r="BE335" s="163"/>
    </row>
    <row r="336" spans="2:58" ht="43.9" customHeight="1" x14ac:dyDescent="0.25">
      <c r="B336" s="100">
        <f t="shared" si="110"/>
        <v>318</v>
      </c>
      <c r="C336" s="110" t="s">
        <v>2196</v>
      </c>
      <c r="D336" s="99" t="s">
        <v>28</v>
      </c>
      <c r="E336" s="142">
        <v>44733</v>
      </c>
      <c r="F336" s="268" t="s">
        <v>4436</v>
      </c>
      <c r="G336" s="96" t="s">
        <v>2197</v>
      </c>
      <c r="H336" s="96" t="s">
        <v>2198</v>
      </c>
      <c r="I336" s="96" t="s">
        <v>636</v>
      </c>
      <c r="J336" s="133" t="s">
        <v>2199</v>
      </c>
      <c r="K336" s="343">
        <v>1695980455</v>
      </c>
      <c r="L336" s="99" t="s">
        <v>3020</v>
      </c>
      <c r="M336" s="99" t="s">
        <v>146</v>
      </c>
      <c r="N336" s="99"/>
      <c r="O336" s="99">
        <v>202203633</v>
      </c>
      <c r="P336" s="168">
        <v>1695980455</v>
      </c>
      <c r="Q336" s="96" t="s">
        <v>146</v>
      </c>
      <c r="R336" s="96" t="s">
        <v>146</v>
      </c>
      <c r="S336" s="99" t="s">
        <v>146</v>
      </c>
      <c r="T336" s="96" t="s">
        <v>230</v>
      </c>
      <c r="U336" s="96" t="s">
        <v>29</v>
      </c>
      <c r="V336" s="142">
        <v>44733</v>
      </c>
      <c r="W336" s="170">
        <f>+$D$2-E336</f>
        <v>-44733</v>
      </c>
      <c r="X336" s="99">
        <f>$D$2-V336</f>
        <v>-44733</v>
      </c>
      <c r="Y336" s="96" t="s">
        <v>1317</v>
      </c>
      <c r="Z336" s="96" t="s">
        <v>168</v>
      </c>
      <c r="AA336" s="96" t="s">
        <v>169</v>
      </c>
      <c r="AB336" s="96"/>
      <c r="AC336" s="99"/>
      <c r="AD336" s="119">
        <v>44759</v>
      </c>
      <c r="AE336" s="183" t="s">
        <v>4437</v>
      </c>
      <c r="AF336" s="99"/>
      <c r="AG336" s="170">
        <f>+AD336-E336</f>
        <v>26</v>
      </c>
      <c r="AH336" s="144">
        <f>+AD336-V336</f>
        <v>26</v>
      </c>
      <c r="AI336" s="99" t="s">
        <v>146</v>
      </c>
      <c r="AJ336" s="96" t="s">
        <v>171</v>
      </c>
      <c r="AK336" s="96" t="s">
        <v>3129</v>
      </c>
      <c r="AL336" s="119">
        <v>44749</v>
      </c>
      <c r="AM336" s="215">
        <v>1694603796</v>
      </c>
      <c r="AN336" s="96" t="s">
        <v>1071</v>
      </c>
      <c r="AO336" s="99">
        <v>202207013</v>
      </c>
      <c r="AP336" s="181">
        <f t="shared" si="140"/>
        <v>1376659</v>
      </c>
      <c r="AQ336" s="138"/>
      <c r="AR336" s="138"/>
      <c r="AS336" s="99"/>
      <c r="AT336" s="99"/>
      <c r="AU336" s="138"/>
      <c r="AV336" s="96" t="s">
        <v>1001</v>
      </c>
      <c r="AW336" s="99" t="s">
        <v>1002</v>
      </c>
      <c r="AX336" s="96" t="s">
        <v>2384</v>
      </c>
      <c r="AY336" s="167">
        <f t="shared" si="141"/>
        <v>8.1171867042536172E-4</v>
      </c>
      <c r="AZ336" s="139">
        <f t="shared" si="113"/>
        <v>1</v>
      </c>
      <c r="BA336" s="139">
        <f t="shared" si="142"/>
        <v>0</v>
      </c>
      <c r="BB336" s="132">
        <f>IF(AA336="CONTRATADO",IF(BA336=1,NETWORKDAYS.INTL(E336,AD336,1,[1]FESTIVOS!$B$3:$B$10)-1,AD336-E336))-BD336</f>
        <v>26</v>
      </c>
      <c r="BC336" s="156"/>
      <c r="BD336" s="162"/>
      <c r="BE336" s="163"/>
    </row>
    <row r="337" spans="2:58" ht="43.9" customHeight="1" x14ac:dyDescent="0.25">
      <c r="B337" s="100">
        <f t="shared" si="110"/>
        <v>319</v>
      </c>
      <c r="C337" s="110" t="s">
        <v>2200</v>
      </c>
      <c r="D337" s="99" t="s">
        <v>33</v>
      </c>
      <c r="E337" s="189">
        <v>44733</v>
      </c>
      <c r="F337" s="268" t="s">
        <v>4436</v>
      </c>
      <c r="G337" s="96" t="s">
        <v>2201</v>
      </c>
      <c r="H337" s="96" t="s">
        <v>2202</v>
      </c>
      <c r="I337" s="96" t="s">
        <v>146</v>
      </c>
      <c r="J337" s="133" t="s">
        <v>2203</v>
      </c>
      <c r="K337" s="344">
        <v>8992830</v>
      </c>
      <c r="L337" s="194" t="s">
        <v>3020</v>
      </c>
      <c r="M337" s="194" t="s">
        <v>3705</v>
      </c>
      <c r="N337" s="194"/>
      <c r="O337" s="99">
        <v>202204351</v>
      </c>
      <c r="P337" s="190">
        <v>8992830</v>
      </c>
      <c r="Q337" s="99" t="s">
        <v>146</v>
      </c>
      <c r="R337" s="99" t="s">
        <v>146</v>
      </c>
      <c r="S337" s="99" t="s">
        <v>146</v>
      </c>
      <c r="T337" s="111" t="s">
        <v>43</v>
      </c>
      <c r="U337" s="96" t="s">
        <v>2484</v>
      </c>
      <c r="V337" s="112">
        <v>44781</v>
      </c>
      <c r="W337" s="186" t="e">
        <f>+$D$4-E337</f>
        <v>#VALUE!</v>
      </c>
      <c r="X337" s="99" t="e">
        <f>$D$4-V337</f>
        <v>#VALUE!</v>
      </c>
      <c r="Y337" s="99" t="s">
        <v>1317</v>
      </c>
      <c r="Z337" s="99" t="s">
        <v>168</v>
      </c>
      <c r="AA337" s="99" t="s">
        <v>169</v>
      </c>
      <c r="AB337" s="96"/>
      <c r="AC337" s="99"/>
      <c r="AD337" s="97">
        <v>44810</v>
      </c>
      <c r="AE337" s="183" t="s">
        <v>4262</v>
      </c>
      <c r="AF337" s="183"/>
      <c r="AG337" s="186">
        <f>+AD337-E337</f>
        <v>77</v>
      </c>
      <c r="AH337" s="187">
        <f>+AD337-V337</f>
        <v>29</v>
      </c>
      <c r="AI337" s="99" t="s">
        <v>258</v>
      </c>
      <c r="AJ337" s="96" t="s">
        <v>171</v>
      </c>
      <c r="AK337" s="99" t="s">
        <v>3706</v>
      </c>
      <c r="AL337" s="97">
        <v>44804</v>
      </c>
      <c r="AM337" s="209">
        <v>8992830</v>
      </c>
      <c r="AN337" s="96" t="s">
        <v>3707</v>
      </c>
      <c r="AO337" s="99">
        <v>202208244</v>
      </c>
      <c r="AP337" s="181">
        <f t="shared" si="140"/>
        <v>0</v>
      </c>
      <c r="AQ337" s="193"/>
      <c r="AR337" s="193"/>
      <c r="AS337" s="99"/>
      <c r="AT337" s="99"/>
      <c r="AU337" s="193"/>
      <c r="AV337" s="99" t="s">
        <v>174</v>
      </c>
      <c r="AW337" s="99" t="s">
        <v>175</v>
      </c>
      <c r="AX337" s="96" t="s">
        <v>2485</v>
      </c>
      <c r="AY337" s="167">
        <f t="shared" si="141"/>
        <v>0</v>
      </c>
      <c r="AZ337" s="139">
        <f t="shared" si="113"/>
        <v>1</v>
      </c>
      <c r="BA337" s="139">
        <f t="shared" si="142"/>
        <v>1</v>
      </c>
      <c r="BB337" s="132">
        <f>IF(AA337="CONTRATADO",IF(BA337=1,NETWORKDAYS.INTL(E337,AD337,1,[1]FESTIVOS!$B$3:$B$10)-1,AD337-E337))-BD337</f>
        <v>55</v>
      </c>
      <c r="BD337" s="207">
        <v>0</v>
      </c>
      <c r="BE337" s="208" t="s">
        <v>3890</v>
      </c>
      <c r="BF337" s="160"/>
    </row>
    <row r="338" spans="2:58" ht="43.9" customHeight="1" x14ac:dyDescent="0.25">
      <c r="B338" s="100">
        <f t="shared" si="110"/>
        <v>320</v>
      </c>
      <c r="C338" s="110" t="s">
        <v>2204</v>
      </c>
      <c r="D338" s="99" t="s">
        <v>332</v>
      </c>
      <c r="E338" s="142">
        <v>44733</v>
      </c>
      <c r="F338" s="268" t="s">
        <v>4436</v>
      </c>
      <c r="G338" s="96" t="s">
        <v>428</v>
      </c>
      <c r="H338" s="96" t="s">
        <v>2205</v>
      </c>
      <c r="I338" s="96" t="s">
        <v>146</v>
      </c>
      <c r="J338" s="133" t="s">
        <v>2206</v>
      </c>
      <c r="K338" s="343">
        <v>440318278</v>
      </c>
      <c r="L338" s="99" t="s">
        <v>3069</v>
      </c>
      <c r="M338" s="99" t="s">
        <v>3130</v>
      </c>
      <c r="N338" s="99"/>
      <c r="O338" s="99">
        <v>202204230</v>
      </c>
      <c r="P338" s="168">
        <v>440318278</v>
      </c>
      <c r="Q338" s="99" t="s">
        <v>146</v>
      </c>
      <c r="R338" s="99" t="s">
        <v>146</v>
      </c>
      <c r="S338" s="99" t="s">
        <v>146</v>
      </c>
      <c r="T338" s="111" t="s">
        <v>43</v>
      </c>
      <c r="U338" s="96" t="s">
        <v>312</v>
      </c>
      <c r="V338" s="119">
        <v>44736</v>
      </c>
      <c r="W338" s="170">
        <f>+$D$2-E338</f>
        <v>-44733</v>
      </c>
      <c r="X338" s="99">
        <f>$D$2-V338</f>
        <v>-44736</v>
      </c>
      <c r="Y338" s="99" t="s">
        <v>1317</v>
      </c>
      <c r="Z338" s="96" t="s">
        <v>168</v>
      </c>
      <c r="AA338" s="96" t="s">
        <v>169</v>
      </c>
      <c r="AB338" s="96" t="s">
        <v>3131</v>
      </c>
      <c r="AC338" s="99"/>
      <c r="AD338" s="119">
        <v>44771</v>
      </c>
      <c r="AE338" s="183" t="s">
        <v>4437</v>
      </c>
      <c r="AF338" s="99"/>
      <c r="AG338" s="170">
        <f>+AD338-E338</f>
        <v>38</v>
      </c>
      <c r="AH338" s="144">
        <f>+AD338-V338</f>
        <v>35</v>
      </c>
      <c r="AI338" s="99" t="s">
        <v>258</v>
      </c>
      <c r="AJ338" s="96" t="s">
        <v>171</v>
      </c>
      <c r="AK338" s="99" t="s">
        <v>3132</v>
      </c>
      <c r="AL338" s="97">
        <v>44768</v>
      </c>
      <c r="AM338" s="215">
        <v>399185752</v>
      </c>
      <c r="AN338" s="96" t="s">
        <v>3133</v>
      </c>
      <c r="AO338" s="99">
        <v>202207181</v>
      </c>
      <c r="AP338" s="181">
        <f t="shared" si="140"/>
        <v>41132526</v>
      </c>
      <c r="AQ338" s="138"/>
      <c r="AR338" s="138"/>
      <c r="AS338" s="99"/>
      <c r="AT338" s="99"/>
      <c r="AU338" s="138"/>
      <c r="AV338" s="99" t="s">
        <v>174</v>
      </c>
      <c r="AW338" s="99" t="s">
        <v>175</v>
      </c>
      <c r="AX338" s="96" t="s">
        <v>2385</v>
      </c>
      <c r="AY338" s="167">
        <f t="shared" si="141"/>
        <v>9.3415440728081695E-2</v>
      </c>
      <c r="AZ338" s="139">
        <f t="shared" si="113"/>
        <v>0</v>
      </c>
      <c r="BA338" s="139">
        <f t="shared" si="142"/>
        <v>1</v>
      </c>
      <c r="BB338" s="132">
        <f>IF(AA338="CONTRATADO",IF(BA338=1,NETWORKDAYS.INTL(E338,AD338,1,[1]FESTIVOS!$B$3:$B$10)-1,AD338-E338))-BD338</f>
        <v>28</v>
      </c>
      <c r="BC338" s="156"/>
      <c r="BD338" s="162"/>
      <c r="BE338" s="163"/>
    </row>
    <row r="339" spans="2:58" ht="43.9" customHeight="1" x14ac:dyDescent="0.25">
      <c r="B339" s="100">
        <f t="shared" si="110"/>
        <v>321</v>
      </c>
      <c r="C339" s="110" t="s">
        <v>2207</v>
      </c>
      <c r="D339" s="99" t="s">
        <v>28</v>
      </c>
      <c r="E339" s="142">
        <v>44733</v>
      </c>
      <c r="F339" s="268" t="s">
        <v>4436</v>
      </c>
      <c r="G339" s="96" t="s">
        <v>1935</v>
      </c>
      <c r="H339" s="96" t="s">
        <v>1936</v>
      </c>
      <c r="I339" s="96" t="s">
        <v>146</v>
      </c>
      <c r="J339" s="133" t="s">
        <v>1937</v>
      </c>
      <c r="K339" s="343">
        <v>137054145</v>
      </c>
      <c r="L339" s="96" t="s">
        <v>3020</v>
      </c>
      <c r="M339" s="96" t="s">
        <v>3134</v>
      </c>
      <c r="N339" s="96"/>
      <c r="O339" s="99">
        <v>202203121</v>
      </c>
      <c r="P339" s="169"/>
      <c r="Q339" s="96" t="s">
        <v>146</v>
      </c>
      <c r="R339" s="96" t="s">
        <v>146</v>
      </c>
      <c r="S339" s="99" t="s">
        <v>146</v>
      </c>
      <c r="T339" s="111" t="s">
        <v>43</v>
      </c>
      <c r="U339" s="96" t="s">
        <v>452</v>
      </c>
      <c r="V339" s="142">
        <v>44733</v>
      </c>
      <c r="W339" s="170">
        <f>+$D$2-E339</f>
        <v>-44733</v>
      </c>
      <c r="X339" s="99">
        <f>$D$2-V339</f>
        <v>-44733</v>
      </c>
      <c r="Y339" s="99" t="s">
        <v>1317</v>
      </c>
      <c r="Z339" s="96" t="s">
        <v>168</v>
      </c>
      <c r="AA339" s="99" t="s">
        <v>169</v>
      </c>
      <c r="AB339" s="96" t="s">
        <v>3135</v>
      </c>
      <c r="AC339" s="99"/>
      <c r="AD339" s="119">
        <v>44769</v>
      </c>
      <c r="AE339" s="183" t="s">
        <v>4437</v>
      </c>
      <c r="AF339" s="99"/>
      <c r="AG339" s="170">
        <f>+AD339-E339</f>
        <v>36</v>
      </c>
      <c r="AH339" s="144">
        <f>+AD339-V339</f>
        <v>36</v>
      </c>
      <c r="AI339" s="99" t="s">
        <v>258</v>
      </c>
      <c r="AJ339" s="96" t="s">
        <v>155</v>
      </c>
      <c r="AK339" s="99" t="s">
        <v>3136</v>
      </c>
      <c r="AL339" s="97">
        <v>44750</v>
      </c>
      <c r="AM339" s="215">
        <v>136934075</v>
      </c>
      <c r="AN339" s="96" t="s">
        <v>3137</v>
      </c>
      <c r="AO339" s="99">
        <v>202206982</v>
      </c>
      <c r="AP339" s="181">
        <f t="shared" si="140"/>
        <v>120070</v>
      </c>
      <c r="AQ339" s="138"/>
      <c r="AR339" s="138"/>
      <c r="AS339" s="99"/>
      <c r="AT339" s="99"/>
      <c r="AU339" s="138"/>
      <c r="AV339" s="99" t="s">
        <v>3138</v>
      </c>
      <c r="AW339" s="99" t="s">
        <v>692</v>
      </c>
      <c r="AX339" s="96" t="s">
        <v>2379</v>
      </c>
      <c r="AY339" s="167">
        <f t="shared" si="141"/>
        <v>8.7607711536196147E-4</v>
      </c>
      <c r="AZ339" s="139">
        <f t="shared" si="113"/>
        <v>1</v>
      </c>
      <c r="BA339" s="139">
        <f t="shared" si="142"/>
        <v>1</v>
      </c>
      <c r="BB339" s="132">
        <f>IF(AA339="CONTRATADO",IF(BA339=1,NETWORKDAYS.INTL(E339,AD339,1,[1]FESTIVOS!$B$3:$B$10)-1,AD339-E339))-BD339</f>
        <v>26</v>
      </c>
      <c r="BC339" s="156"/>
      <c r="BD339" s="162"/>
      <c r="BE339" s="163"/>
    </row>
    <row r="340" spans="2:58" ht="43.9" customHeight="1" x14ac:dyDescent="0.25">
      <c r="B340" s="100">
        <f t="shared" ref="B340:B403" si="143">+B339+1</f>
        <v>322</v>
      </c>
      <c r="C340" s="110" t="s">
        <v>2208</v>
      </c>
      <c r="D340" s="99" t="s">
        <v>359</v>
      </c>
      <c r="E340" s="189">
        <v>44734</v>
      </c>
      <c r="F340" s="268" t="s">
        <v>4436</v>
      </c>
      <c r="G340" s="96" t="s">
        <v>2209</v>
      </c>
      <c r="H340" s="96" t="s">
        <v>1948</v>
      </c>
      <c r="I340" s="96" t="s">
        <v>146</v>
      </c>
      <c r="J340" s="96" t="s">
        <v>1949</v>
      </c>
      <c r="K340" s="344">
        <v>90170000</v>
      </c>
      <c r="L340" s="96"/>
      <c r="M340" s="96" t="s">
        <v>2486</v>
      </c>
      <c r="N340" s="96"/>
      <c r="O340" s="99">
        <v>202203526</v>
      </c>
      <c r="P340" s="185"/>
      <c r="Q340" s="96" t="s">
        <v>146</v>
      </c>
      <c r="R340" s="96" t="s">
        <v>146</v>
      </c>
      <c r="S340" s="99" t="s">
        <v>146</v>
      </c>
      <c r="T340" s="111" t="s">
        <v>43</v>
      </c>
      <c r="U340" s="96" t="s">
        <v>312</v>
      </c>
      <c r="V340" s="189">
        <v>44734</v>
      </c>
      <c r="W340" s="186">
        <v>139</v>
      </c>
      <c r="X340" s="99">
        <v>139</v>
      </c>
      <c r="Y340" s="99" t="s">
        <v>1755</v>
      </c>
      <c r="Z340" s="99" t="s">
        <v>168</v>
      </c>
      <c r="AA340" s="99" t="s">
        <v>169</v>
      </c>
      <c r="AB340" s="96" t="s">
        <v>3545</v>
      </c>
      <c r="AC340" s="96"/>
      <c r="AD340" s="97">
        <v>44847</v>
      </c>
      <c r="AE340" s="183" t="s">
        <v>4271</v>
      </c>
      <c r="AF340" s="186">
        <v>113</v>
      </c>
      <c r="AG340" s="186"/>
      <c r="AH340" s="187">
        <v>113</v>
      </c>
      <c r="AI340" s="99" t="s">
        <v>241</v>
      </c>
      <c r="AJ340" s="96" t="s">
        <v>171</v>
      </c>
      <c r="AK340" s="99" t="s">
        <v>3958</v>
      </c>
      <c r="AL340" s="97">
        <v>44827</v>
      </c>
      <c r="AM340" s="204">
        <v>65106462</v>
      </c>
      <c r="AN340" s="99" t="s">
        <v>1159</v>
      </c>
      <c r="AO340" s="99">
        <v>202208624</v>
      </c>
      <c r="AP340" s="181">
        <f t="shared" si="140"/>
        <v>25063538</v>
      </c>
      <c r="AQ340" s="99" t="s">
        <v>1000</v>
      </c>
      <c r="AR340" s="99" t="s">
        <v>692</v>
      </c>
      <c r="AS340" s="203"/>
      <c r="AT340" s="200"/>
      <c r="AU340" s="200"/>
      <c r="AV340" s="260"/>
      <c r="AW340" s="260"/>
      <c r="AX340" s="260"/>
      <c r="AY340" s="167">
        <f t="shared" si="141"/>
        <v>0.27795872241321945</v>
      </c>
      <c r="AZ340" s="139">
        <f t="shared" si="113"/>
        <v>0</v>
      </c>
      <c r="BA340" s="139">
        <f t="shared" si="142"/>
        <v>1</v>
      </c>
      <c r="BB340" s="132">
        <f>IF(AA340="CONTRATADO",IF(BA340=1,NETWORKDAYS.INTL(E340,AD340,1,[1]FESTIVOS!$B$3:$B$10)-1,AD340-E340))-BD340</f>
        <v>45</v>
      </c>
      <c r="BD340" s="207">
        <f>5+26+5</f>
        <v>36</v>
      </c>
      <c r="BE340" s="208" t="s">
        <v>3988</v>
      </c>
    </row>
    <row r="341" spans="2:58" ht="43.9" customHeight="1" x14ac:dyDescent="0.25">
      <c r="B341" s="100">
        <f t="shared" si="143"/>
        <v>323</v>
      </c>
      <c r="C341" s="110" t="s">
        <v>2210</v>
      </c>
      <c r="D341" s="99" t="s">
        <v>28</v>
      </c>
      <c r="E341" s="142">
        <v>44734</v>
      </c>
      <c r="F341" s="268" t="s">
        <v>4436</v>
      </c>
      <c r="G341" s="96" t="s">
        <v>2211</v>
      </c>
      <c r="H341" s="96" t="s">
        <v>2212</v>
      </c>
      <c r="I341" s="96" t="s">
        <v>146</v>
      </c>
      <c r="J341" s="133" t="s">
        <v>2213</v>
      </c>
      <c r="K341" s="343">
        <v>64920450</v>
      </c>
      <c r="L341" s="96" t="s">
        <v>3020</v>
      </c>
      <c r="M341" s="96" t="s">
        <v>3034</v>
      </c>
      <c r="N341" s="96"/>
      <c r="O341" s="99">
        <v>202203120</v>
      </c>
      <c r="P341" s="169"/>
      <c r="Q341" s="96" t="s">
        <v>146</v>
      </c>
      <c r="R341" s="96" t="s">
        <v>146</v>
      </c>
      <c r="S341" s="99" t="s">
        <v>146</v>
      </c>
      <c r="T341" s="111" t="s">
        <v>43</v>
      </c>
      <c r="U341" s="96" t="s">
        <v>503</v>
      </c>
      <c r="V341" s="142">
        <v>44734</v>
      </c>
      <c r="W341" s="170">
        <v>84</v>
      </c>
      <c r="X341" s="99">
        <v>84</v>
      </c>
      <c r="Y341" s="99" t="s">
        <v>1317</v>
      </c>
      <c r="Z341" s="99" t="s">
        <v>168</v>
      </c>
      <c r="AA341" s="99" t="s">
        <v>169</v>
      </c>
      <c r="AB341" s="96" t="s">
        <v>2483</v>
      </c>
      <c r="AC341" s="99"/>
      <c r="AD341" s="97">
        <v>44784</v>
      </c>
      <c r="AE341" s="183" t="s">
        <v>4438</v>
      </c>
      <c r="AF341" s="171"/>
      <c r="AG341" s="170">
        <v>50</v>
      </c>
      <c r="AH341" s="144">
        <v>50</v>
      </c>
      <c r="AI341" s="99" t="s">
        <v>258</v>
      </c>
      <c r="AJ341" s="96" t="s">
        <v>155</v>
      </c>
      <c r="AK341" s="99" t="s">
        <v>3035</v>
      </c>
      <c r="AL341" s="97">
        <v>44770</v>
      </c>
      <c r="AM341" s="215">
        <v>64920450</v>
      </c>
      <c r="AN341" s="96" t="s">
        <v>3036</v>
      </c>
      <c r="AO341" s="99">
        <v>202207314</v>
      </c>
      <c r="AP341" s="181">
        <f t="shared" si="140"/>
        <v>0</v>
      </c>
      <c r="AQ341" s="138"/>
      <c r="AR341" s="138"/>
      <c r="AS341" s="99"/>
      <c r="AT341" s="99"/>
      <c r="AU341" s="138"/>
      <c r="AV341" s="99" t="s">
        <v>174</v>
      </c>
      <c r="AW341" s="99" t="s">
        <v>175</v>
      </c>
      <c r="AX341" s="96" t="s">
        <v>3037</v>
      </c>
      <c r="AY341" s="167">
        <f t="shared" si="141"/>
        <v>0</v>
      </c>
      <c r="AZ341" s="139">
        <f t="shared" si="113"/>
        <v>1</v>
      </c>
      <c r="BA341" s="139">
        <f t="shared" si="142"/>
        <v>1</v>
      </c>
      <c r="BB341" s="132">
        <f>IF(AA341="CONTRATADO",IF(BA341=1,NETWORKDAYS.INTL(E341,AD341,1,[1]FESTIVOS!$B$3:$B$10)-1,AD341-E341))-BD341</f>
        <v>36</v>
      </c>
      <c r="BC341" s="156"/>
      <c r="BD341" s="162"/>
      <c r="BE341" s="163"/>
    </row>
    <row r="342" spans="2:58" ht="43.9" customHeight="1" x14ac:dyDescent="0.25">
      <c r="B342" s="100">
        <f t="shared" si="143"/>
        <v>324</v>
      </c>
      <c r="C342" s="110" t="s">
        <v>2214</v>
      </c>
      <c r="D342" s="99" t="s">
        <v>28</v>
      </c>
      <c r="E342" s="142">
        <v>44734</v>
      </c>
      <c r="F342" s="268" t="s">
        <v>4436</v>
      </c>
      <c r="G342" s="96" t="s">
        <v>2215</v>
      </c>
      <c r="H342" s="96" t="s">
        <v>2216</v>
      </c>
      <c r="I342" s="96" t="s">
        <v>146</v>
      </c>
      <c r="J342" s="133" t="s">
        <v>2217</v>
      </c>
      <c r="K342" s="343">
        <v>130495795</v>
      </c>
      <c r="L342" s="96" t="s">
        <v>3427</v>
      </c>
      <c r="M342" s="99" t="s">
        <v>2487</v>
      </c>
      <c r="N342" s="99"/>
      <c r="O342" s="99">
        <v>202203910</v>
      </c>
      <c r="P342" s="169"/>
      <c r="Q342" s="96" t="s">
        <v>146</v>
      </c>
      <c r="R342" s="96" t="s">
        <v>146</v>
      </c>
      <c r="S342" s="99" t="s">
        <v>146</v>
      </c>
      <c r="T342" s="111" t="s">
        <v>43</v>
      </c>
      <c r="U342" s="96" t="s">
        <v>1904</v>
      </c>
      <c r="V342" s="119">
        <v>44736</v>
      </c>
      <c r="W342" s="170">
        <v>84</v>
      </c>
      <c r="X342" s="99">
        <v>82</v>
      </c>
      <c r="Y342" s="99" t="s">
        <v>1317</v>
      </c>
      <c r="Z342" s="99" t="s">
        <v>168</v>
      </c>
      <c r="AA342" s="99" t="s">
        <v>169</v>
      </c>
      <c r="AB342" s="96" t="s">
        <v>2488</v>
      </c>
      <c r="AC342" s="99"/>
      <c r="AD342" s="97">
        <v>44791</v>
      </c>
      <c r="AE342" s="183" t="s">
        <v>4438</v>
      </c>
      <c r="AF342" s="171"/>
      <c r="AG342" s="170">
        <v>57</v>
      </c>
      <c r="AH342" s="144">
        <v>55</v>
      </c>
      <c r="AI342" s="99" t="s">
        <v>258</v>
      </c>
      <c r="AJ342" s="96" t="s">
        <v>155</v>
      </c>
      <c r="AK342" s="99" t="s">
        <v>3428</v>
      </c>
      <c r="AL342" s="97">
        <v>44768</v>
      </c>
      <c r="AM342" s="215">
        <v>127802430</v>
      </c>
      <c r="AN342" s="96" t="s">
        <v>3146</v>
      </c>
      <c r="AO342" s="99">
        <v>202207318</v>
      </c>
      <c r="AP342" s="181">
        <f t="shared" si="140"/>
        <v>2693365</v>
      </c>
      <c r="AQ342" s="138"/>
      <c r="AR342" s="138"/>
      <c r="AS342" s="99"/>
      <c r="AT342" s="99"/>
      <c r="AU342" s="138"/>
      <c r="AV342" s="99" t="s">
        <v>3429</v>
      </c>
      <c r="AW342" s="99" t="s">
        <v>1002</v>
      </c>
      <c r="AX342" s="96" t="s">
        <v>2379</v>
      </c>
      <c r="AY342" s="167">
        <f t="shared" si="141"/>
        <v>2.0639477310360844E-2</v>
      </c>
      <c r="AZ342" s="139">
        <f t="shared" ref="AZ342:AZ405" si="144">IF(D342="GUENAA",1,IF(D342="GUENE",1,IF(D342="GUENT",1,0)))</f>
        <v>1</v>
      </c>
      <c r="BA342" s="139">
        <f t="shared" si="142"/>
        <v>1</v>
      </c>
      <c r="BB342" s="132">
        <f>IF(AA342="CONTRATADO",IF(BA342=1,NETWORKDAYS.INTL(E342,AD342,1,[1]FESTIVOS!$B$3:$B$10)-1,AD342-E342))-BD342</f>
        <v>41</v>
      </c>
      <c r="BC342" s="156"/>
      <c r="BD342" s="162"/>
      <c r="BE342" s="163"/>
    </row>
    <row r="343" spans="2:58" ht="43.9" customHeight="1" x14ac:dyDescent="0.25">
      <c r="B343" s="100">
        <f t="shared" si="143"/>
        <v>325</v>
      </c>
      <c r="C343" s="110" t="s">
        <v>2218</v>
      </c>
      <c r="D343" s="99" t="s">
        <v>28</v>
      </c>
      <c r="E343" s="142">
        <v>44734</v>
      </c>
      <c r="F343" s="268" t="s">
        <v>4436</v>
      </c>
      <c r="G343" s="96" t="s">
        <v>2219</v>
      </c>
      <c r="H343" s="96" t="s">
        <v>2220</v>
      </c>
      <c r="I343" s="96" t="s">
        <v>146</v>
      </c>
      <c r="J343" s="133" t="s">
        <v>2221</v>
      </c>
      <c r="K343" s="343">
        <v>499413972</v>
      </c>
      <c r="L343" s="96" t="s">
        <v>1101</v>
      </c>
      <c r="M343" s="99" t="s">
        <v>3038</v>
      </c>
      <c r="N343" s="99"/>
      <c r="O343" s="99">
        <v>202203888</v>
      </c>
      <c r="P343" s="169">
        <v>1113359867</v>
      </c>
      <c r="Q343" s="96" t="s">
        <v>146</v>
      </c>
      <c r="R343" s="96" t="s">
        <v>146</v>
      </c>
      <c r="S343" s="99" t="s">
        <v>146</v>
      </c>
      <c r="T343" s="111" t="s">
        <v>43</v>
      </c>
      <c r="U343" s="96" t="s">
        <v>187</v>
      </c>
      <c r="V343" s="142">
        <v>44734</v>
      </c>
      <c r="W343" s="170">
        <v>84</v>
      </c>
      <c r="X343" s="99">
        <v>84</v>
      </c>
      <c r="Y343" s="99" t="s">
        <v>1317</v>
      </c>
      <c r="Z343" s="99" t="s">
        <v>168</v>
      </c>
      <c r="AA343" s="99" t="s">
        <v>169</v>
      </c>
      <c r="AB343" s="96" t="s">
        <v>3039</v>
      </c>
      <c r="AC343" s="99"/>
      <c r="AD343" s="97">
        <v>44778</v>
      </c>
      <c r="AE343" s="183" t="s">
        <v>4438</v>
      </c>
      <c r="AF343" s="171"/>
      <c r="AG343" s="170">
        <v>44</v>
      </c>
      <c r="AH343" s="144">
        <v>44</v>
      </c>
      <c r="AI343" s="99" t="s">
        <v>258</v>
      </c>
      <c r="AJ343" s="96" t="s">
        <v>171</v>
      </c>
      <c r="AK343" s="99" t="s">
        <v>3040</v>
      </c>
      <c r="AL343" s="97">
        <v>44764</v>
      </c>
      <c r="AM343" s="215">
        <v>493806334</v>
      </c>
      <c r="AN343" s="96" t="s">
        <v>1758</v>
      </c>
      <c r="AO343" s="99">
        <v>202207235</v>
      </c>
      <c r="AP343" s="181">
        <f t="shared" si="140"/>
        <v>5607638</v>
      </c>
      <c r="AQ343" s="138"/>
      <c r="AR343" s="138"/>
      <c r="AS343" s="99"/>
      <c r="AT343" s="99"/>
      <c r="AU343" s="138"/>
      <c r="AV343" s="99" t="s">
        <v>174</v>
      </c>
      <c r="AW343" s="99" t="s">
        <v>175</v>
      </c>
      <c r="AX343" s="96" t="s">
        <v>2441</v>
      </c>
      <c r="AY343" s="167">
        <f t="shared" si="141"/>
        <v>1.1228436356201904E-2</v>
      </c>
      <c r="AZ343" s="139">
        <f t="shared" si="144"/>
        <v>1</v>
      </c>
      <c r="BA343" s="139">
        <f t="shared" si="142"/>
        <v>1</v>
      </c>
      <c r="BB343" s="132">
        <f>IF(AA343="CONTRATADO",IF(BA343=1,NETWORKDAYS.INTL(E343,AD343,1,[1]FESTIVOS!$B$3:$B$10)-1,AD343-E343))-BD343</f>
        <v>32</v>
      </c>
      <c r="BC343" s="156"/>
      <c r="BD343" s="162"/>
      <c r="BE343" s="163"/>
    </row>
    <row r="344" spans="2:58" ht="43.9" customHeight="1" x14ac:dyDescent="0.25">
      <c r="B344" s="100">
        <f t="shared" si="143"/>
        <v>326</v>
      </c>
      <c r="C344" s="110" t="s">
        <v>2222</v>
      </c>
      <c r="D344" s="99" t="s">
        <v>28</v>
      </c>
      <c r="E344" s="142">
        <v>44734</v>
      </c>
      <c r="F344" s="268" t="s">
        <v>4436</v>
      </c>
      <c r="G344" s="96" t="s">
        <v>2223</v>
      </c>
      <c r="H344" s="96" t="s">
        <v>2224</v>
      </c>
      <c r="I344" s="96" t="s">
        <v>146</v>
      </c>
      <c r="J344" s="133" t="s">
        <v>2225</v>
      </c>
      <c r="K344" s="343">
        <v>71971578</v>
      </c>
      <c r="L344" s="96" t="s">
        <v>3020</v>
      </c>
      <c r="M344" s="99" t="s">
        <v>3139</v>
      </c>
      <c r="N344" s="99"/>
      <c r="O344" s="99">
        <v>202202235</v>
      </c>
      <c r="P344" s="169">
        <v>72000000</v>
      </c>
      <c r="Q344" s="99" t="s">
        <v>146</v>
      </c>
      <c r="R344" s="99" t="s">
        <v>146</v>
      </c>
      <c r="S344" s="99" t="s">
        <v>146</v>
      </c>
      <c r="T344" s="111" t="s">
        <v>43</v>
      </c>
      <c r="U344" s="96" t="s">
        <v>364</v>
      </c>
      <c r="V344" s="142">
        <v>44734</v>
      </c>
      <c r="W344" s="170">
        <f>+$D$2-E344</f>
        <v>-44734</v>
      </c>
      <c r="X344" s="99">
        <f>$D$2-V344</f>
        <v>-44734</v>
      </c>
      <c r="Y344" s="99" t="s">
        <v>1317</v>
      </c>
      <c r="Z344" s="96" t="s">
        <v>168</v>
      </c>
      <c r="AA344" s="99" t="s">
        <v>169</v>
      </c>
      <c r="AB344" s="96" t="s">
        <v>3042</v>
      </c>
      <c r="AC344" s="99"/>
      <c r="AD344" s="119">
        <v>44768</v>
      </c>
      <c r="AE344" s="183" t="s">
        <v>4437</v>
      </c>
      <c r="AF344" s="99"/>
      <c r="AG344" s="99"/>
      <c r="AH344" s="99"/>
      <c r="AI344" s="99" t="s">
        <v>258</v>
      </c>
      <c r="AJ344" s="96" t="s">
        <v>171</v>
      </c>
      <c r="AK344" s="99" t="s">
        <v>3140</v>
      </c>
      <c r="AL344" s="97">
        <v>44757</v>
      </c>
      <c r="AM344" s="215">
        <v>71971578</v>
      </c>
      <c r="AN344" s="96" t="s">
        <v>3141</v>
      </c>
      <c r="AO344" s="99">
        <v>202207176</v>
      </c>
      <c r="AP344" s="181">
        <f t="shared" si="140"/>
        <v>0</v>
      </c>
      <c r="AQ344" s="138"/>
      <c r="AR344" s="138"/>
      <c r="AS344" s="99"/>
      <c r="AT344" s="99"/>
      <c r="AU344" s="138"/>
      <c r="AV344" s="99" t="s">
        <v>1040</v>
      </c>
      <c r="AW344" s="99" t="s">
        <v>692</v>
      </c>
      <c r="AX344" s="96" t="s">
        <v>2511</v>
      </c>
      <c r="AY344" s="167">
        <f t="shared" si="141"/>
        <v>0</v>
      </c>
      <c r="AZ344" s="139">
        <f t="shared" si="144"/>
        <v>1</v>
      </c>
      <c r="BA344" s="139">
        <f t="shared" si="142"/>
        <v>1</v>
      </c>
      <c r="BB344" s="132">
        <f>IF(AA344="CONTRATADO",IF(BA344=1,NETWORKDAYS.INTL(E344,AD344,1,[1]FESTIVOS!$B$3:$B$10)-1,AD344-E344))-BD344</f>
        <v>24</v>
      </c>
      <c r="BC344" s="156"/>
      <c r="BD344" s="162"/>
      <c r="BE344" s="163"/>
    </row>
    <row r="345" spans="2:58" ht="43.9" customHeight="1" x14ac:dyDescent="0.25">
      <c r="B345" s="100">
        <f t="shared" si="143"/>
        <v>327</v>
      </c>
      <c r="C345" s="110" t="s">
        <v>2226</v>
      </c>
      <c r="D345" s="99" t="s">
        <v>28</v>
      </c>
      <c r="E345" s="142">
        <v>44734</v>
      </c>
      <c r="F345" s="268" t="s">
        <v>4436</v>
      </c>
      <c r="G345" s="96" t="s">
        <v>2227</v>
      </c>
      <c r="H345" s="96" t="s">
        <v>2228</v>
      </c>
      <c r="I345" s="96" t="s">
        <v>146</v>
      </c>
      <c r="J345" s="133" t="s">
        <v>2229</v>
      </c>
      <c r="K345" s="343">
        <v>144234069</v>
      </c>
      <c r="L345" s="96" t="s">
        <v>3020</v>
      </c>
      <c r="M345" s="99" t="s">
        <v>3041</v>
      </c>
      <c r="N345" s="99"/>
      <c r="O345" s="99" t="s">
        <v>2230</v>
      </c>
      <c r="P345" s="168">
        <v>144346069</v>
      </c>
      <c r="Q345" s="99" t="s">
        <v>146</v>
      </c>
      <c r="R345" s="99" t="s">
        <v>146</v>
      </c>
      <c r="S345" s="99" t="s">
        <v>146</v>
      </c>
      <c r="T345" s="111" t="s">
        <v>43</v>
      </c>
      <c r="U345" s="96" t="s">
        <v>364</v>
      </c>
      <c r="V345" s="142">
        <v>44734</v>
      </c>
      <c r="W345" s="170">
        <v>84</v>
      </c>
      <c r="X345" s="99">
        <v>84</v>
      </c>
      <c r="Y345" s="99" t="s">
        <v>258</v>
      </c>
      <c r="Z345" s="96" t="s">
        <v>168</v>
      </c>
      <c r="AA345" s="96" t="s">
        <v>169</v>
      </c>
      <c r="AB345" s="96" t="s">
        <v>3042</v>
      </c>
      <c r="AC345" s="99"/>
      <c r="AD345" s="119">
        <v>44774</v>
      </c>
      <c r="AE345" s="183" t="s">
        <v>4438</v>
      </c>
      <c r="AF345" s="171"/>
      <c r="AG345" s="170">
        <v>40</v>
      </c>
      <c r="AH345" s="144">
        <v>40</v>
      </c>
      <c r="AI345" s="99" t="s">
        <v>258</v>
      </c>
      <c r="AJ345" s="96" t="s">
        <v>171</v>
      </c>
      <c r="AK345" s="99" t="s">
        <v>3043</v>
      </c>
      <c r="AL345" s="97">
        <v>44757</v>
      </c>
      <c r="AM345" s="215">
        <v>142708534</v>
      </c>
      <c r="AN345" s="96" t="s">
        <v>3044</v>
      </c>
      <c r="AO345" s="99">
        <v>202207129</v>
      </c>
      <c r="AP345" s="181">
        <f t="shared" si="140"/>
        <v>1525535</v>
      </c>
      <c r="AQ345" s="138"/>
      <c r="AR345" s="138"/>
      <c r="AS345" s="99"/>
      <c r="AT345" s="99"/>
      <c r="AU345" s="138"/>
      <c r="AV345" s="99" t="s">
        <v>174</v>
      </c>
      <c r="AW345" s="99" t="s">
        <v>175</v>
      </c>
      <c r="AX345" s="96" t="s">
        <v>2511</v>
      </c>
      <c r="AY345" s="167">
        <f t="shared" si="141"/>
        <v>1.0576800686389843E-2</v>
      </c>
      <c r="AZ345" s="139">
        <f t="shared" si="144"/>
        <v>1</v>
      </c>
      <c r="BA345" s="139">
        <f t="shared" si="142"/>
        <v>1</v>
      </c>
      <c r="BB345" s="132">
        <f>IF(AA345="CONTRATADO",IF(BA345=1,NETWORKDAYS.INTL(E345,AD345,1,[1]FESTIVOS!$B$3:$B$10)-1,AD345-E345))-BD345</f>
        <v>28</v>
      </c>
      <c r="BC345" s="156"/>
      <c r="BD345" s="162"/>
      <c r="BE345" s="163"/>
    </row>
    <row r="346" spans="2:58" ht="43.9" customHeight="1" x14ac:dyDescent="0.25">
      <c r="B346" s="100">
        <f t="shared" si="143"/>
        <v>328</v>
      </c>
      <c r="C346" s="110" t="s">
        <v>145</v>
      </c>
      <c r="D346" s="99" t="s">
        <v>359</v>
      </c>
      <c r="E346" s="142">
        <v>44736</v>
      </c>
      <c r="F346" s="268" t="s">
        <v>4436</v>
      </c>
      <c r="G346" s="96" t="s">
        <v>1744</v>
      </c>
      <c r="H346" s="96" t="s">
        <v>1745</v>
      </c>
      <c r="I346" s="96" t="s">
        <v>146</v>
      </c>
      <c r="J346" s="133" t="s">
        <v>1746</v>
      </c>
      <c r="K346" s="343">
        <v>455000000</v>
      </c>
      <c r="L346" s="96" t="s">
        <v>3030</v>
      </c>
      <c r="M346" s="99" t="s">
        <v>3045</v>
      </c>
      <c r="N346" s="99"/>
      <c r="O346" s="99">
        <v>202203098</v>
      </c>
      <c r="P346" s="169"/>
      <c r="Q346" s="96" t="s">
        <v>146</v>
      </c>
      <c r="R346" s="96" t="s">
        <v>146</v>
      </c>
      <c r="S346" s="99" t="s">
        <v>146</v>
      </c>
      <c r="T346" s="111" t="s">
        <v>43</v>
      </c>
      <c r="U346" s="96" t="s">
        <v>312</v>
      </c>
      <c r="V346" s="119">
        <v>44736</v>
      </c>
      <c r="W346" s="170">
        <v>82</v>
      </c>
      <c r="X346" s="99">
        <v>82</v>
      </c>
      <c r="Y346" s="99" t="s">
        <v>1317</v>
      </c>
      <c r="Z346" s="99" t="s">
        <v>168</v>
      </c>
      <c r="AA346" s="99" t="s">
        <v>169</v>
      </c>
      <c r="AB346" s="96" t="s">
        <v>3046</v>
      </c>
      <c r="AC346" s="99" t="s">
        <v>3047</v>
      </c>
      <c r="AD346" s="97">
        <v>44781</v>
      </c>
      <c r="AE346" s="183" t="s">
        <v>4438</v>
      </c>
      <c r="AF346" s="171"/>
      <c r="AG346" s="170">
        <v>45</v>
      </c>
      <c r="AH346" s="144">
        <v>45</v>
      </c>
      <c r="AI346" s="99" t="s">
        <v>258</v>
      </c>
      <c r="AJ346" s="96" t="s">
        <v>171</v>
      </c>
      <c r="AK346" s="99" t="s">
        <v>3048</v>
      </c>
      <c r="AL346" s="97">
        <v>44742</v>
      </c>
      <c r="AM346" s="215">
        <v>452335404</v>
      </c>
      <c r="AN346" s="96" t="s">
        <v>3049</v>
      </c>
      <c r="AO346" s="99">
        <v>202206957</v>
      </c>
      <c r="AP346" s="181">
        <f t="shared" si="140"/>
        <v>2664596</v>
      </c>
      <c r="AQ346" s="138"/>
      <c r="AR346" s="138"/>
      <c r="AS346" s="99"/>
      <c r="AT346" s="99"/>
      <c r="AU346" s="138"/>
      <c r="AV346" s="99" t="s">
        <v>174</v>
      </c>
      <c r="AW346" s="99" t="s">
        <v>175</v>
      </c>
      <c r="AX346" s="96" t="s">
        <v>359</v>
      </c>
      <c r="AY346" s="167">
        <f t="shared" si="141"/>
        <v>5.8562549450549449E-3</v>
      </c>
      <c r="AZ346" s="139">
        <f t="shared" si="144"/>
        <v>0</v>
      </c>
      <c r="BA346" s="139">
        <f t="shared" si="142"/>
        <v>1</v>
      </c>
      <c r="BB346" s="132">
        <f>IF(AA346="CONTRATADO",IF(BA346=1,NETWORKDAYS.INTL(E346,AD346,1,[1]FESTIVOS!$B$3:$B$10)-1,AD346-E346))-BD346</f>
        <v>31</v>
      </c>
      <c r="BC346" s="156"/>
      <c r="BD346" s="162"/>
      <c r="BE346" s="163"/>
    </row>
    <row r="347" spans="2:58" ht="43.9" customHeight="1" x14ac:dyDescent="0.25">
      <c r="B347" s="100">
        <f t="shared" si="143"/>
        <v>329</v>
      </c>
      <c r="C347" s="293" t="s">
        <v>2231</v>
      </c>
      <c r="D347" s="312" t="s">
        <v>32</v>
      </c>
      <c r="E347" s="272">
        <v>44736</v>
      </c>
      <c r="F347" s="268" t="s">
        <v>4436</v>
      </c>
      <c r="G347" s="269" t="s">
        <v>2232</v>
      </c>
      <c r="H347" s="265" t="s">
        <v>2233</v>
      </c>
      <c r="I347" s="265" t="s">
        <v>146</v>
      </c>
      <c r="J347" s="269" t="s">
        <v>2234</v>
      </c>
      <c r="K347" s="342">
        <v>3019654000</v>
      </c>
      <c r="L347" s="282"/>
      <c r="M347" s="265" t="s">
        <v>2489</v>
      </c>
      <c r="N347" s="302" t="str">
        <f>MID(M347,5,3)</f>
        <v>IPU</v>
      </c>
      <c r="O347" s="265">
        <v>202203115</v>
      </c>
      <c r="P347" s="271"/>
      <c r="Q347" s="265" t="s">
        <v>3181</v>
      </c>
      <c r="R347" s="265"/>
      <c r="S347" s="265" t="s">
        <v>1560</v>
      </c>
      <c r="T347" s="111" t="s">
        <v>40</v>
      </c>
      <c r="U347" s="269" t="s">
        <v>1904</v>
      </c>
      <c r="V347" s="285">
        <v>44742</v>
      </c>
      <c r="W347" s="265" t="e">
        <f>+$D$4-E347</f>
        <v>#VALUE!</v>
      </c>
      <c r="X347" s="265" t="e">
        <f>$D$4-V347</f>
        <v>#VALUE!</v>
      </c>
      <c r="Y347" s="265" t="s">
        <v>1300</v>
      </c>
      <c r="Z347" s="265" t="s">
        <v>152</v>
      </c>
      <c r="AA347" s="265" t="s">
        <v>153</v>
      </c>
      <c r="AB347" s="272">
        <v>44894</v>
      </c>
      <c r="AC347" s="304" t="s">
        <v>4013</v>
      </c>
      <c r="AD347" s="272">
        <v>44894</v>
      </c>
      <c r="AE347" s="265"/>
      <c r="AF347" s="305" t="str">
        <f>+IF(AD347="","",TEXT(AD347,"mmm"))</f>
        <v>nov</v>
      </c>
      <c r="AG347" s="306">
        <f>+AD347-E347</f>
        <v>158</v>
      </c>
      <c r="AH347" s="307">
        <f>+AD347-V347</f>
        <v>152</v>
      </c>
      <c r="AI347" s="265"/>
      <c r="AJ347" s="265" t="s">
        <v>155</v>
      </c>
      <c r="AK347" s="265"/>
      <c r="AL347" s="265"/>
      <c r="AM347" s="265"/>
      <c r="AN347" s="309"/>
      <c r="AO347" s="269"/>
      <c r="AP347" s="265"/>
      <c r="AQ347" s="309"/>
      <c r="AR347" s="289"/>
      <c r="AS347" s="269"/>
      <c r="AT347" s="265"/>
      <c r="AU347" s="260"/>
      <c r="AV347" s="260"/>
      <c r="AW347" s="200"/>
      <c r="AX347" s="200"/>
      <c r="AY347" s="200"/>
      <c r="AZ347" s="139">
        <f t="shared" si="144"/>
        <v>1</v>
      </c>
      <c r="BA347" s="200"/>
      <c r="BB347" s="200"/>
      <c r="BC347" s="3"/>
      <c r="BD347" s="95"/>
      <c r="BE347" s="2"/>
    </row>
    <row r="348" spans="2:58" ht="43.9" customHeight="1" x14ac:dyDescent="0.25">
      <c r="B348" s="100">
        <f t="shared" si="143"/>
        <v>330</v>
      </c>
      <c r="C348" s="293" t="s">
        <v>2235</v>
      </c>
      <c r="D348" s="265" t="s">
        <v>28</v>
      </c>
      <c r="E348" s="272">
        <v>44736</v>
      </c>
      <c r="F348" s="268" t="s">
        <v>4436</v>
      </c>
      <c r="G348" s="269" t="s">
        <v>1547</v>
      </c>
      <c r="H348" s="265" t="s">
        <v>1548</v>
      </c>
      <c r="I348" s="265" t="s">
        <v>146</v>
      </c>
      <c r="J348" s="269" t="s">
        <v>1549</v>
      </c>
      <c r="K348" s="342">
        <v>244211285</v>
      </c>
      <c r="L348" s="282"/>
      <c r="M348" s="265" t="s">
        <v>2490</v>
      </c>
      <c r="N348" s="302" t="str">
        <f>MID(M348,5,3)</f>
        <v>IP-</v>
      </c>
      <c r="O348" s="265">
        <v>202201156</v>
      </c>
      <c r="P348" s="271"/>
      <c r="Q348" s="265" t="s">
        <v>146</v>
      </c>
      <c r="R348" s="265" t="s">
        <v>146</v>
      </c>
      <c r="S348" s="265" t="s">
        <v>146</v>
      </c>
      <c r="T348" s="111" t="s">
        <v>43</v>
      </c>
      <c r="U348" s="269" t="s">
        <v>452</v>
      </c>
      <c r="V348" s="284">
        <v>44761</v>
      </c>
      <c r="W348" s="265" t="e">
        <f>+$D$4-E348</f>
        <v>#VALUE!</v>
      </c>
      <c r="X348" s="265" t="e">
        <f>$D$4-V348</f>
        <v>#VALUE!</v>
      </c>
      <c r="Y348" s="265" t="s">
        <v>1300</v>
      </c>
      <c r="Z348" s="265" t="s">
        <v>152</v>
      </c>
      <c r="AA348" s="265" t="s">
        <v>153</v>
      </c>
      <c r="AB348" s="265"/>
      <c r="AC348" s="304" t="s">
        <v>2491</v>
      </c>
      <c r="AD348" s="272">
        <v>44777</v>
      </c>
      <c r="AE348" s="265"/>
      <c r="AF348" s="305" t="str">
        <f>+IF(AD348="","",TEXT(AD348,"mmm"))</f>
        <v>ago</v>
      </c>
      <c r="AG348" s="306">
        <f>+AD348-E348</f>
        <v>41</v>
      </c>
      <c r="AH348" s="307">
        <f>+AD348-V348</f>
        <v>16</v>
      </c>
      <c r="AI348" s="265"/>
      <c r="AJ348" s="265" t="s">
        <v>155</v>
      </c>
      <c r="AK348" s="265"/>
      <c r="AL348" s="265"/>
      <c r="AM348" s="265"/>
      <c r="AN348" s="309"/>
      <c r="AO348" s="269"/>
      <c r="AP348" s="265"/>
      <c r="AQ348" s="309"/>
      <c r="AR348" s="289"/>
      <c r="AS348" s="269"/>
      <c r="AT348" s="265"/>
      <c r="AU348" s="260"/>
      <c r="AV348" s="260"/>
      <c r="AW348" s="200"/>
      <c r="AX348" s="200"/>
      <c r="AY348" s="200"/>
      <c r="AZ348" s="139">
        <f t="shared" si="144"/>
        <v>1</v>
      </c>
      <c r="BA348" s="200"/>
      <c r="BB348" s="200"/>
      <c r="BC348" s="3"/>
      <c r="BD348" s="95"/>
      <c r="BE348" s="2"/>
      <c r="BF348" s="160"/>
    </row>
    <row r="349" spans="2:58" ht="43.9" customHeight="1" x14ac:dyDescent="0.25">
      <c r="B349" s="100">
        <f t="shared" si="143"/>
        <v>331</v>
      </c>
      <c r="C349" s="110" t="s">
        <v>2236</v>
      </c>
      <c r="D349" s="99" t="s">
        <v>28</v>
      </c>
      <c r="E349" s="189">
        <v>44736</v>
      </c>
      <c r="F349" s="268" t="s">
        <v>4436</v>
      </c>
      <c r="G349" s="96" t="s">
        <v>1990</v>
      </c>
      <c r="H349" s="96" t="s">
        <v>1991</v>
      </c>
      <c r="I349" s="96" t="s">
        <v>146</v>
      </c>
      <c r="J349" s="133" t="s">
        <v>1992</v>
      </c>
      <c r="K349" s="344">
        <v>170109720</v>
      </c>
      <c r="L349" s="96"/>
      <c r="M349" s="96" t="s">
        <v>3878</v>
      </c>
      <c r="N349" s="96"/>
      <c r="O349" s="99">
        <v>202201832</v>
      </c>
      <c r="P349" s="185"/>
      <c r="Q349" s="96" t="s">
        <v>146</v>
      </c>
      <c r="R349" s="96" t="s">
        <v>146</v>
      </c>
      <c r="S349" s="99" t="s">
        <v>146</v>
      </c>
      <c r="T349" s="111" t="s">
        <v>43</v>
      </c>
      <c r="U349" s="96" t="s">
        <v>452</v>
      </c>
      <c r="V349" s="189">
        <v>44761</v>
      </c>
      <c r="W349" s="186" t="e">
        <f>+$D$4-E349</f>
        <v>#VALUE!</v>
      </c>
      <c r="X349" s="99" t="e">
        <f>$D$4-V349</f>
        <v>#VALUE!</v>
      </c>
      <c r="Y349" s="99" t="s">
        <v>1317</v>
      </c>
      <c r="Z349" s="99" t="s">
        <v>168</v>
      </c>
      <c r="AA349" s="99" t="s">
        <v>169</v>
      </c>
      <c r="AB349" s="96" t="s">
        <v>2492</v>
      </c>
      <c r="AC349" s="99"/>
      <c r="AD349" s="97">
        <v>44833</v>
      </c>
      <c r="AE349" s="183" t="s">
        <v>4262</v>
      </c>
      <c r="AF349" s="183"/>
      <c r="AG349" s="186">
        <f>+AD349-E349</f>
        <v>97</v>
      </c>
      <c r="AH349" s="187">
        <f>+AD349-V349</f>
        <v>72</v>
      </c>
      <c r="AI349" s="99" t="s">
        <v>258</v>
      </c>
      <c r="AJ349" s="96" t="s">
        <v>171</v>
      </c>
      <c r="AK349" s="99" t="s">
        <v>3708</v>
      </c>
      <c r="AL349" s="99"/>
      <c r="AM349" s="209">
        <v>168831739</v>
      </c>
      <c r="AN349" s="96" t="s">
        <v>3879</v>
      </c>
      <c r="AO349" s="99"/>
      <c r="AP349" s="181">
        <f t="shared" ref="AP349:AP357" si="145">+K349-AM349</f>
        <v>1277981</v>
      </c>
      <c r="AQ349" s="193"/>
      <c r="AR349" s="193"/>
      <c r="AS349" s="99"/>
      <c r="AT349" s="99"/>
      <c r="AU349" s="193"/>
      <c r="AV349" s="99"/>
      <c r="AW349" s="99"/>
      <c r="AX349" s="96" t="s">
        <v>2382</v>
      </c>
      <c r="AY349" s="167">
        <f t="shared" ref="AY349:AY357" si="146">+AP349/K349</f>
        <v>7.5126865178544765E-3</v>
      </c>
      <c r="AZ349" s="139">
        <f t="shared" si="144"/>
        <v>1</v>
      </c>
      <c r="BA349" s="139">
        <f t="shared" ref="BA349:BA357" si="147">IF(T349="Invitación Privada",1,IF(T349="Invitación Pública",2,0))</f>
        <v>1</v>
      </c>
      <c r="BB349" s="132">
        <f>IF(AA349="CONTRATADO",IF(BA349=1,NETWORKDAYS.INTL(E349,AD349,1,[1]FESTIVOS!$B$3:$B$10)-1,AD349-E349))-BD349</f>
        <v>69</v>
      </c>
      <c r="BD349" s="207"/>
      <c r="BE349" s="208"/>
    </row>
    <row r="350" spans="2:58" ht="43.9" customHeight="1" x14ac:dyDescent="0.25">
      <c r="B350" s="100">
        <f t="shared" si="143"/>
        <v>332</v>
      </c>
      <c r="C350" s="110" t="s">
        <v>2237</v>
      </c>
      <c r="D350" s="99" t="s">
        <v>359</v>
      </c>
      <c r="E350" s="142">
        <v>44736</v>
      </c>
      <c r="F350" s="268" t="s">
        <v>4436</v>
      </c>
      <c r="G350" s="96" t="s">
        <v>2238</v>
      </c>
      <c r="H350" s="96" t="s">
        <v>368</v>
      </c>
      <c r="I350" s="96" t="s">
        <v>146</v>
      </c>
      <c r="J350" s="133" t="s">
        <v>2239</v>
      </c>
      <c r="K350" s="343">
        <v>300000000</v>
      </c>
      <c r="L350" s="96" t="s">
        <v>3025</v>
      </c>
      <c r="M350" s="99" t="s">
        <v>2493</v>
      </c>
      <c r="N350" s="99"/>
      <c r="O350" s="99">
        <v>202202122</v>
      </c>
      <c r="P350" s="169"/>
      <c r="Q350" s="96" t="s">
        <v>146</v>
      </c>
      <c r="R350" s="96" t="s">
        <v>146</v>
      </c>
      <c r="S350" s="99" t="s">
        <v>146</v>
      </c>
      <c r="T350" s="111" t="s">
        <v>43</v>
      </c>
      <c r="U350" s="96" t="s">
        <v>312</v>
      </c>
      <c r="V350" s="119">
        <v>44740</v>
      </c>
      <c r="W350" s="170">
        <v>82</v>
      </c>
      <c r="X350" s="99">
        <v>78</v>
      </c>
      <c r="Y350" s="99" t="s">
        <v>1317</v>
      </c>
      <c r="Z350" s="99" t="s">
        <v>168</v>
      </c>
      <c r="AA350" s="99" t="s">
        <v>169</v>
      </c>
      <c r="AB350" s="96" t="s">
        <v>2494</v>
      </c>
      <c r="AC350" s="99"/>
      <c r="AD350" s="97">
        <v>44790</v>
      </c>
      <c r="AE350" s="183" t="s">
        <v>4438</v>
      </c>
      <c r="AF350" s="171"/>
      <c r="AG350" s="170">
        <v>54</v>
      </c>
      <c r="AH350" s="144">
        <v>50</v>
      </c>
      <c r="AI350" s="99" t="s">
        <v>258</v>
      </c>
      <c r="AJ350" s="96" t="s">
        <v>171</v>
      </c>
      <c r="AK350" s="99" t="s">
        <v>3430</v>
      </c>
      <c r="AL350" s="97">
        <v>44775</v>
      </c>
      <c r="AM350" s="215">
        <v>298000000</v>
      </c>
      <c r="AN350" s="96" t="s">
        <v>3431</v>
      </c>
      <c r="AO350" s="99">
        <v>202207629</v>
      </c>
      <c r="AP350" s="181">
        <f t="shared" si="145"/>
        <v>2000000</v>
      </c>
      <c r="AQ350" s="138"/>
      <c r="AR350" s="138"/>
      <c r="AS350" s="99"/>
      <c r="AT350" s="99"/>
      <c r="AU350" s="138"/>
      <c r="AV350" s="99" t="s">
        <v>174</v>
      </c>
      <c r="AW350" s="99" t="s">
        <v>175</v>
      </c>
      <c r="AX350" s="96" t="s">
        <v>359</v>
      </c>
      <c r="AY350" s="167">
        <f t="shared" si="146"/>
        <v>6.6666666666666671E-3</v>
      </c>
      <c r="AZ350" s="139">
        <f t="shared" si="144"/>
        <v>0</v>
      </c>
      <c r="BA350" s="139">
        <f t="shared" si="147"/>
        <v>1</v>
      </c>
      <c r="BB350" s="132">
        <f>IF(AA350="CONTRATADO",IF(BA350=1,NETWORKDAYS.INTL(E350,AD350,1,[1]FESTIVOS!$B$3:$B$10)-1,AD350-E350))-BD350</f>
        <v>33</v>
      </c>
      <c r="BC350" s="156"/>
      <c r="BD350" s="162">
        <v>5</v>
      </c>
      <c r="BE350" s="163" t="s">
        <v>3529</v>
      </c>
    </row>
    <row r="351" spans="2:58" ht="43.9" customHeight="1" x14ac:dyDescent="0.25">
      <c r="B351" s="100">
        <f t="shared" si="143"/>
        <v>333</v>
      </c>
      <c r="C351" s="110" t="s">
        <v>2240</v>
      </c>
      <c r="D351" s="99" t="s">
        <v>32</v>
      </c>
      <c r="E351" s="142">
        <v>44740</v>
      </c>
      <c r="F351" s="268" t="s">
        <v>4436</v>
      </c>
      <c r="G351" s="96" t="s">
        <v>1411</v>
      </c>
      <c r="H351" s="96" t="s">
        <v>588</v>
      </c>
      <c r="I351" s="96" t="s">
        <v>146</v>
      </c>
      <c r="J351" s="133" t="s">
        <v>589</v>
      </c>
      <c r="K351" s="348">
        <v>40721800</v>
      </c>
      <c r="L351" s="96" t="s">
        <v>3025</v>
      </c>
      <c r="M351" s="96" t="s">
        <v>2495</v>
      </c>
      <c r="N351" s="96"/>
      <c r="O351" s="99">
        <v>202201683</v>
      </c>
      <c r="P351" s="180">
        <v>40721800</v>
      </c>
      <c r="Q351" s="96" t="s">
        <v>146</v>
      </c>
      <c r="R351" s="96" t="s">
        <v>146</v>
      </c>
      <c r="S351" s="99" t="s">
        <v>146</v>
      </c>
      <c r="T351" s="111" t="s">
        <v>43</v>
      </c>
      <c r="U351" s="96" t="s">
        <v>1357</v>
      </c>
      <c r="V351" s="142">
        <v>44740</v>
      </c>
      <c r="W351" s="170">
        <v>78</v>
      </c>
      <c r="X351" s="99">
        <v>78</v>
      </c>
      <c r="Y351" s="99" t="s">
        <v>1317</v>
      </c>
      <c r="Z351" s="99" t="s">
        <v>168</v>
      </c>
      <c r="AA351" s="99" t="s">
        <v>169</v>
      </c>
      <c r="AB351" s="96" t="s">
        <v>2496</v>
      </c>
      <c r="AC351" s="99"/>
      <c r="AD351" s="97">
        <v>44803</v>
      </c>
      <c r="AE351" s="183" t="s">
        <v>4438</v>
      </c>
      <c r="AF351" s="171"/>
      <c r="AG351" s="170">
        <v>63</v>
      </c>
      <c r="AH351" s="144">
        <v>63</v>
      </c>
      <c r="AI351" s="99" t="s">
        <v>258</v>
      </c>
      <c r="AJ351" s="96" t="s">
        <v>171</v>
      </c>
      <c r="AK351" s="99" t="s">
        <v>3432</v>
      </c>
      <c r="AL351" s="97">
        <v>44797</v>
      </c>
      <c r="AM351" s="215">
        <v>40721800</v>
      </c>
      <c r="AN351" s="96" t="s">
        <v>3433</v>
      </c>
      <c r="AO351" s="99">
        <v>202207958</v>
      </c>
      <c r="AP351" s="181">
        <f t="shared" si="145"/>
        <v>0</v>
      </c>
      <c r="AQ351" s="138"/>
      <c r="AR351" s="138"/>
      <c r="AS351" s="99"/>
      <c r="AT351" s="99"/>
      <c r="AU351" s="138"/>
      <c r="AV351" s="99" t="s">
        <v>3420</v>
      </c>
      <c r="AW351" s="99" t="s">
        <v>692</v>
      </c>
      <c r="AX351" s="96" t="s">
        <v>2383</v>
      </c>
      <c r="AY351" s="167">
        <f t="shared" si="146"/>
        <v>0</v>
      </c>
      <c r="AZ351" s="139">
        <f t="shared" si="144"/>
        <v>1</v>
      </c>
      <c r="BA351" s="139">
        <f t="shared" si="147"/>
        <v>1</v>
      </c>
      <c r="BB351" s="132">
        <f>IF(AA351="CONTRATADO",IF(BA351=1,NETWORKDAYS.INTL(E351,AD351,1,[1]FESTIVOS!$B$3:$B$10)-1,AD351-E351))-BD351</f>
        <v>45</v>
      </c>
      <c r="BC351" s="156"/>
      <c r="BD351" s="162"/>
      <c r="BE351" s="163"/>
    </row>
    <row r="352" spans="2:58" ht="43.9" customHeight="1" x14ac:dyDescent="0.25">
      <c r="B352" s="100">
        <f t="shared" si="143"/>
        <v>334</v>
      </c>
      <c r="C352" s="110" t="s">
        <v>2241</v>
      </c>
      <c r="D352" s="99" t="s">
        <v>28</v>
      </c>
      <c r="E352" s="142">
        <v>44740</v>
      </c>
      <c r="F352" s="268" t="s">
        <v>4436</v>
      </c>
      <c r="G352" s="96" t="s">
        <v>1722</v>
      </c>
      <c r="H352" s="96" t="s">
        <v>1723</v>
      </c>
      <c r="I352" s="96" t="s">
        <v>146</v>
      </c>
      <c r="J352" s="133" t="s">
        <v>1724</v>
      </c>
      <c r="K352" s="343">
        <v>62299950</v>
      </c>
      <c r="L352" s="96"/>
      <c r="M352" s="99" t="s">
        <v>3050</v>
      </c>
      <c r="N352" s="99"/>
      <c r="O352" s="99" t="s">
        <v>1725</v>
      </c>
      <c r="P352" s="169"/>
      <c r="Q352" s="96" t="s">
        <v>146</v>
      </c>
      <c r="R352" s="96" t="s">
        <v>146</v>
      </c>
      <c r="S352" s="99" t="s">
        <v>146</v>
      </c>
      <c r="T352" s="111" t="s">
        <v>43</v>
      </c>
      <c r="U352" s="96" t="s">
        <v>277</v>
      </c>
      <c r="V352" s="142">
        <v>44740</v>
      </c>
      <c r="W352" s="170">
        <v>78</v>
      </c>
      <c r="X352" s="99">
        <v>78</v>
      </c>
      <c r="Y352" s="99" t="s">
        <v>1317</v>
      </c>
      <c r="Z352" s="99" t="s">
        <v>168</v>
      </c>
      <c r="AA352" s="99" t="s">
        <v>169</v>
      </c>
      <c r="AB352" s="96" t="s">
        <v>3051</v>
      </c>
      <c r="AC352" s="99"/>
      <c r="AD352" s="97">
        <v>44782</v>
      </c>
      <c r="AE352" s="183" t="s">
        <v>4438</v>
      </c>
      <c r="AF352" s="171"/>
      <c r="AG352" s="170">
        <v>42</v>
      </c>
      <c r="AH352" s="144">
        <v>42</v>
      </c>
      <c r="AI352" s="99" t="s">
        <v>258</v>
      </c>
      <c r="AJ352" s="96" t="s">
        <v>155</v>
      </c>
      <c r="AK352" s="99" t="s">
        <v>3434</v>
      </c>
      <c r="AL352" s="97">
        <v>44767</v>
      </c>
      <c r="AM352" s="215">
        <v>62044993</v>
      </c>
      <c r="AN352" s="96" t="s">
        <v>3435</v>
      </c>
      <c r="AO352" s="99"/>
      <c r="AP352" s="181">
        <f t="shared" si="145"/>
        <v>254957</v>
      </c>
      <c r="AQ352" s="138"/>
      <c r="AR352" s="138"/>
      <c r="AS352" s="99"/>
      <c r="AT352" s="99"/>
      <c r="AU352" s="138"/>
      <c r="AV352" s="99"/>
      <c r="AW352" s="99"/>
      <c r="AX352" s="96" t="s">
        <v>2379</v>
      </c>
      <c r="AY352" s="167">
        <f t="shared" si="146"/>
        <v>4.0924109890938913E-3</v>
      </c>
      <c r="AZ352" s="139">
        <f t="shared" si="144"/>
        <v>1</v>
      </c>
      <c r="BA352" s="139">
        <f t="shared" si="147"/>
        <v>1</v>
      </c>
      <c r="BB352" s="132">
        <f>IF(AA352="CONTRATADO",IF(BA352=1,NETWORKDAYS.INTL(E352,AD352,1,[1]FESTIVOS!$B$3:$B$10)-1,AD352-E352))-BD352</f>
        <v>23</v>
      </c>
      <c r="BC352" s="156"/>
      <c r="BD352" s="162">
        <f>4+3</f>
        <v>7</v>
      </c>
      <c r="BE352" s="163" t="s">
        <v>3523</v>
      </c>
    </row>
    <row r="353" spans="2:58" ht="43.9" customHeight="1" x14ac:dyDescent="0.25">
      <c r="B353" s="100">
        <f t="shared" si="143"/>
        <v>335</v>
      </c>
      <c r="C353" s="110" t="s">
        <v>2242</v>
      </c>
      <c r="D353" s="99" t="s">
        <v>33</v>
      </c>
      <c r="E353" s="142">
        <v>44740</v>
      </c>
      <c r="F353" s="268" t="s">
        <v>4436</v>
      </c>
      <c r="G353" s="96" t="s">
        <v>2243</v>
      </c>
      <c r="H353" s="96" t="s">
        <v>2244</v>
      </c>
      <c r="I353" s="96" t="s">
        <v>146</v>
      </c>
      <c r="J353" s="133" t="s">
        <v>2245</v>
      </c>
      <c r="K353" s="343">
        <v>58191000</v>
      </c>
      <c r="L353" s="96" t="s">
        <v>3020</v>
      </c>
      <c r="M353" s="99" t="s">
        <v>2497</v>
      </c>
      <c r="N353" s="99"/>
      <c r="O353" s="99">
        <v>202202939</v>
      </c>
      <c r="P353" s="169"/>
      <c r="Q353" s="96" t="s">
        <v>146</v>
      </c>
      <c r="R353" s="96" t="s">
        <v>146</v>
      </c>
      <c r="S353" s="99" t="s">
        <v>146</v>
      </c>
      <c r="T353" s="111" t="s">
        <v>43</v>
      </c>
      <c r="U353" s="96" t="s">
        <v>1904</v>
      </c>
      <c r="V353" s="119">
        <v>44742</v>
      </c>
      <c r="W353" s="170">
        <f>+$D$2-E353</f>
        <v>-44740</v>
      </c>
      <c r="X353" s="99">
        <f>$D$2-V353</f>
        <v>-44742</v>
      </c>
      <c r="Y353" s="99" t="s">
        <v>258</v>
      </c>
      <c r="Z353" s="99" t="s">
        <v>2080</v>
      </c>
      <c r="AA353" s="99" t="s">
        <v>169</v>
      </c>
      <c r="AB353" s="96" t="s">
        <v>2498</v>
      </c>
      <c r="AC353" s="99"/>
      <c r="AD353" s="97">
        <v>44790</v>
      </c>
      <c r="AE353" s="183" t="s">
        <v>4438</v>
      </c>
      <c r="AF353" s="171"/>
      <c r="AG353" s="170">
        <f>+AD353-E353</f>
        <v>50</v>
      </c>
      <c r="AH353" s="144">
        <f>+AD353-V353</f>
        <v>48</v>
      </c>
      <c r="AI353" s="99" t="s">
        <v>258</v>
      </c>
      <c r="AJ353" s="96" t="s">
        <v>171</v>
      </c>
      <c r="AK353" s="99" t="s">
        <v>3182</v>
      </c>
      <c r="AL353" s="97">
        <v>44774</v>
      </c>
      <c r="AM353" s="215">
        <v>56141820</v>
      </c>
      <c r="AN353" s="96" t="s">
        <v>1790</v>
      </c>
      <c r="AO353" s="99">
        <v>202207624</v>
      </c>
      <c r="AP353" s="181">
        <f t="shared" si="145"/>
        <v>2049180</v>
      </c>
      <c r="AQ353" s="138"/>
      <c r="AR353" s="138"/>
      <c r="AS353" s="99"/>
      <c r="AT353" s="99"/>
      <c r="AU353" s="138"/>
      <c r="AV353" s="99" t="s">
        <v>174</v>
      </c>
      <c r="AW353" s="99" t="s">
        <v>175</v>
      </c>
      <c r="AX353" s="96" t="s">
        <v>2485</v>
      </c>
      <c r="AY353" s="167">
        <f t="shared" si="146"/>
        <v>3.5214723926380365E-2</v>
      </c>
      <c r="AZ353" s="139">
        <f t="shared" si="144"/>
        <v>1</v>
      </c>
      <c r="BA353" s="139">
        <f t="shared" si="147"/>
        <v>1</v>
      </c>
      <c r="BB353" s="132">
        <f>IF(AA353="CONTRATADO",IF(BA353=1,NETWORKDAYS.INTL(E353,AD353,1,[1]FESTIVOS!$B$3:$B$10)-1,AD353-E353))-BD353</f>
        <v>36</v>
      </c>
      <c r="BC353" s="156"/>
      <c r="BD353" s="162"/>
      <c r="BE353" s="163"/>
    </row>
    <row r="354" spans="2:58" ht="43.9" customHeight="1" x14ac:dyDescent="0.25">
      <c r="B354" s="100">
        <f t="shared" si="143"/>
        <v>336</v>
      </c>
      <c r="C354" s="267" t="s">
        <v>2246</v>
      </c>
      <c r="D354" s="265" t="s">
        <v>33</v>
      </c>
      <c r="E354" s="281">
        <v>44740</v>
      </c>
      <c r="F354" s="268" t="s">
        <v>4436</v>
      </c>
      <c r="G354" s="269" t="s">
        <v>2247</v>
      </c>
      <c r="H354" s="269" t="s">
        <v>2248</v>
      </c>
      <c r="I354" s="269" t="s">
        <v>146</v>
      </c>
      <c r="J354" s="269" t="s">
        <v>2249</v>
      </c>
      <c r="K354" s="349">
        <v>74052510</v>
      </c>
      <c r="L354" s="282"/>
      <c r="M354" s="265" t="s">
        <v>2499</v>
      </c>
      <c r="N354" s="279" t="str">
        <f>MID(M354,5,3)</f>
        <v>IP-</v>
      </c>
      <c r="O354" s="265">
        <v>202202934</v>
      </c>
      <c r="P354" s="271"/>
      <c r="Q354" s="269" t="s">
        <v>146</v>
      </c>
      <c r="R354" s="269" t="s">
        <v>146</v>
      </c>
      <c r="S354" s="265" t="s">
        <v>146</v>
      </c>
      <c r="T354" s="111" t="s">
        <v>43</v>
      </c>
      <c r="U354" s="269" t="s">
        <v>572</v>
      </c>
      <c r="V354" s="281">
        <v>44740</v>
      </c>
      <c r="W354" s="269" t="e">
        <f>+$D$4-E354</f>
        <v>#VALUE!</v>
      </c>
      <c r="X354" s="269" t="e">
        <f>$D$4-V354</f>
        <v>#VALUE!</v>
      </c>
      <c r="Y354" s="265" t="s">
        <v>1317</v>
      </c>
      <c r="Z354" s="269" t="s">
        <v>1327</v>
      </c>
      <c r="AA354" s="269" t="s">
        <v>169</v>
      </c>
      <c r="AB354" s="269"/>
      <c r="AC354" s="269" t="s">
        <v>3546</v>
      </c>
      <c r="AD354" s="272">
        <v>44873</v>
      </c>
      <c r="AE354" s="273" t="s">
        <v>4274</v>
      </c>
      <c r="AF354" s="200"/>
      <c r="AG354" s="274">
        <f>+AD354-E354</f>
        <v>133</v>
      </c>
      <c r="AH354" s="275">
        <f>+AD354-V354</f>
        <v>133</v>
      </c>
      <c r="AI354" s="265" t="s">
        <v>258</v>
      </c>
      <c r="AJ354" s="269" t="s">
        <v>171</v>
      </c>
      <c r="AK354" s="265" t="s">
        <v>4216</v>
      </c>
      <c r="AL354" s="272">
        <v>44819</v>
      </c>
      <c r="AM354" s="276">
        <v>70871337</v>
      </c>
      <c r="AN354" s="269" t="s">
        <v>4217</v>
      </c>
      <c r="AO354" s="265" t="s">
        <v>4218</v>
      </c>
      <c r="AP354" s="181">
        <f t="shared" si="145"/>
        <v>3181173</v>
      </c>
      <c r="AQ354" s="277"/>
      <c r="AR354" s="265"/>
      <c r="AS354" s="265"/>
      <c r="AT354" s="200"/>
      <c r="AU354" s="200"/>
      <c r="AV354" s="260"/>
      <c r="AW354" s="260"/>
      <c r="AX354" s="260"/>
      <c r="AY354" s="167">
        <f t="shared" si="146"/>
        <v>4.295834131753265E-2</v>
      </c>
      <c r="AZ354" s="139">
        <f t="shared" si="144"/>
        <v>1</v>
      </c>
      <c r="BA354" s="139">
        <f t="shared" si="147"/>
        <v>1</v>
      </c>
      <c r="BB354" s="132">
        <f>IF(AA354="CONTRATADO",IF(BA354=1,NETWORKDAYS.INTL(E354,AD354,1,[1]FESTIVOS!$B$3:$B$10)-1,AD354-E354))-BD354</f>
        <v>68</v>
      </c>
      <c r="BD354" s="3">
        <v>27</v>
      </c>
      <c r="BE354" s="95" t="s">
        <v>4229</v>
      </c>
    </row>
    <row r="355" spans="2:58" ht="43.9" customHeight="1" x14ac:dyDescent="0.25">
      <c r="B355" s="100">
        <f t="shared" si="143"/>
        <v>337</v>
      </c>
      <c r="C355" s="110" t="s">
        <v>2250</v>
      </c>
      <c r="D355" s="99" t="s">
        <v>33</v>
      </c>
      <c r="E355" s="189">
        <v>44740</v>
      </c>
      <c r="F355" s="268" t="s">
        <v>4436</v>
      </c>
      <c r="G355" s="96" t="s">
        <v>2251</v>
      </c>
      <c r="H355" s="96" t="s">
        <v>2252</v>
      </c>
      <c r="I355" s="96" t="s">
        <v>146</v>
      </c>
      <c r="J355" s="96" t="s">
        <v>2253</v>
      </c>
      <c r="K355" s="344">
        <v>44165109</v>
      </c>
      <c r="L355" s="96" t="s">
        <v>3062</v>
      </c>
      <c r="M355" s="99" t="s">
        <v>2500</v>
      </c>
      <c r="N355" s="99"/>
      <c r="O355" s="99" t="s">
        <v>2254</v>
      </c>
      <c r="P355" s="190">
        <v>44165109</v>
      </c>
      <c r="Q355" s="96" t="s">
        <v>146</v>
      </c>
      <c r="R355" s="96" t="s">
        <v>146</v>
      </c>
      <c r="S355" s="99" t="s">
        <v>146</v>
      </c>
      <c r="T355" s="111" t="s">
        <v>43</v>
      </c>
      <c r="U355" s="96" t="s">
        <v>503</v>
      </c>
      <c r="V355" s="189">
        <v>44742</v>
      </c>
      <c r="W355" s="186" t="e">
        <f>+$D$4-E355</f>
        <v>#VALUE!</v>
      </c>
      <c r="X355" s="99" t="e">
        <f>$D$4-V355</f>
        <v>#VALUE!</v>
      </c>
      <c r="Y355" s="99" t="s">
        <v>1317</v>
      </c>
      <c r="Z355" s="99" t="s">
        <v>168</v>
      </c>
      <c r="AA355" s="99" t="s">
        <v>169</v>
      </c>
      <c r="AB355" s="96" t="s">
        <v>2501</v>
      </c>
      <c r="AC355" s="99"/>
      <c r="AD355" s="97">
        <v>44778</v>
      </c>
      <c r="AE355" s="183" t="s">
        <v>4262</v>
      </c>
      <c r="AF355" s="183"/>
      <c r="AG355" s="186">
        <f>+AD355-E355</f>
        <v>38</v>
      </c>
      <c r="AH355" s="187">
        <f>+AD355-V355</f>
        <v>36</v>
      </c>
      <c r="AI355" s="99" t="s">
        <v>258</v>
      </c>
      <c r="AJ355" s="96" t="s">
        <v>171</v>
      </c>
      <c r="AK355" s="99" t="s">
        <v>3709</v>
      </c>
      <c r="AL355" s="97">
        <v>44792</v>
      </c>
      <c r="AM355" s="209">
        <v>34676048</v>
      </c>
      <c r="AN355" s="96" t="s">
        <v>3710</v>
      </c>
      <c r="AO355" s="99">
        <v>202208282</v>
      </c>
      <c r="AP355" s="181">
        <f t="shared" si="145"/>
        <v>9489061</v>
      </c>
      <c r="AQ355" s="193"/>
      <c r="AR355" s="193"/>
      <c r="AS355" s="99"/>
      <c r="AT355" s="99"/>
      <c r="AU355" s="193"/>
      <c r="AV355" s="99"/>
      <c r="AW355" s="99"/>
      <c r="AX355" s="96" t="s">
        <v>2485</v>
      </c>
      <c r="AY355" s="167">
        <f t="shared" si="146"/>
        <v>0.21485424161412123</v>
      </c>
      <c r="AZ355" s="139">
        <f t="shared" si="144"/>
        <v>1</v>
      </c>
      <c r="BA355" s="139">
        <f t="shared" si="147"/>
        <v>1</v>
      </c>
      <c r="BB355" s="132">
        <f>IF(AA355="CONTRATADO",IF(BA355=1,NETWORKDAYS.INTL(E355,AD355,1,[1]FESTIVOS!$B$3:$B$10)-1,AD355-E355))-BD355</f>
        <v>28</v>
      </c>
      <c r="BF355" s="311"/>
    </row>
    <row r="356" spans="2:58" ht="43.9" customHeight="1" x14ac:dyDescent="0.25">
      <c r="B356" s="100">
        <f t="shared" si="143"/>
        <v>338</v>
      </c>
      <c r="C356" s="110" t="s">
        <v>2255</v>
      </c>
      <c r="D356" s="99" t="s">
        <v>359</v>
      </c>
      <c r="E356" s="142">
        <v>44740</v>
      </c>
      <c r="F356" s="268" t="s">
        <v>4436</v>
      </c>
      <c r="G356" s="96" t="s">
        <v>1700</v>
      </c>
      <c r="H356" s="96" t="s">
        <v>2256</v>
      </c>
      <c r="I356" s="96" t="s">
        <v>146</v>
      </c>
      <c r="J356" s="133" t="s">
        <v>2257</v>
      </c>
      <c r="K356" s="343">
        <f>1240383280+200000000</f>
        <v>1440383280</v>
      </c>
      <c r="L356" s="96" t="s">
        <v>228</v>
      </c>
      <c r="M356" s="99" t="s">
        <v>2502</v>
      </c>
      <c r="N356" s="99"/>
      <c r="O356" s="99" t="s">
        <v>2258</v>
      </c>
      <c r="P356" s="169"/>
      <c r="Q356" s="96" t="s">
        <v>146</v>
      </c>
      <c r="R356" s="96" t="s">
        <v>146</v>
      </c>
      <c r="S356" s="99" t="s">
        <v>1560</v>
      </c>
      <c r="T356" s="111" t="s">
        <v>40</v>
      </c>
      <c r="U356" s="96" t="s">
        <v>312</v>
      </c>
      <c r="V356" s="119">
        <v>44742</v>
      </c>
      <c r="W356" s="170">
        <v>78</v>
      </c>
      <c r="X356" s="99">
        <v>76</v>
      </c>
      <c r="Y356" s="99" t="s">
        <v>1317</v>
      </c>
      <c r="Z356" s="99" t="s">
        <v>168</v>
      </c>
      <c r="AA356" s="99" t="s">
        <v>169</v>
      </c>
      <c r="AB356" s="96" t="s">
        <v>2503</v>
      </c>
      <c r="AC356" s="99"/>
      <c r="AD356" s="97">
        <v>44803</v>
      </c>
      <c r="AE356" s="183" t="s">
        <v>4438</v>
      </c>
      <c r="AF356" s="171"/>
      <c r="AG356" s="170">
        <v>63</v>
      </c>
      <c r="AH356" s="144">
        <v>61</v>
      </c>
      <c r="AI356" s="99" t="s">
        <v>2388</v>
      </c>
      <c r="AJ356" s="96" t="s">
        <v>171</v>
      </c>
      <c r="AK356" s="99" t="s">
        <v>3436</v>
      </c>
      <c r="AL356" s="97">
        <v>44803</v>
      </c>
      <c r="AM356" s="215">
        <v>1440382665</v>
      </c>
      <c r="AN356" s="96" t="s">
        <v>1159</v>
      </c>
      <c r="AO356" s="99">
        <v>202207980</v>
      </c>
      <c r="AP356" s="181">
        <f t="shared" si="145"/>
        <v>615</v>
      </c>
      <c r="AQ356" s="138"/>
      <c r="AR356" s="138"/>
      <c r="AS356" s="99"/>
      <c r="AT356" s="99"/>
      <c r="AU356" s="138"/>
      <c r="AV356" s="99" t="s">
        <v>1000</v>
      </c>
      <c r="AW356" s="99" t="s">
        <v>692</v>
      </c>
      <c r="AX356" s="96" t="s">
        <v>359</v>
      </c>
      <c r="AY356" s="167">
        <f t="shared" si="146"/>
        <v>4.2696968823464819E-7</v>
      </c>
      <c r="AZ356" s="139">
        <f t="shared" si="144"/>
        <v>0</v>
      </c>
      <c r="BA356" s="139">
        <f t="shared" si="147"/>
        <v>2</v>
      </c>
      <c r="BB356" s="132">
        <f>IF(AA356="CONTRATADO",IF(BA356=1,NETWORKDAYS.INTL(E356,AD356,1,[1]FESTIVOS!$B$3:$B$10)-1,AD356-E356))-BD356</f>
        <v>63</v>
      </c>
      <c r="BC356" s="156"/>
      <c r="BD356" s="162"/>
      <c r="BE356" s="163"/>
      <c r="BF356" s="76"/>
    </row>
    <row r="357" spans="2:58" ht="43.9" customHeight="1" x14ac:dyDescent="0.25">
      <c r="B357" s="100">
        <f t="shared" si="143"/>
        <v>339</v>
      </c>
      <c r="C357" s="110" t="s">
        <v>2259</v>
      </c>
      <c r="D357" s="99" t="s">
        <v>32</v>
      </c>
      <c r="E357" s="189">
        <v>44742</v>
      </c>
      <c r="F357" s="268" t="s">
        <v>4436</v>
      </c>
      <c r="G357" s="96" t="s">
        <v>819</v>
      </c>
      <c r="H357" s="96" t="s">
        <v>820</v>
      </c>
      <c r="I357" s="96" t="s">
        <v>146</v>
      </c>
      <c r="J357" s="96" t="s">
        <v>1361</v>
      </c>
      <c r="K357" s="344">
        <v>26610066</v>
      </c>
      <c r="L357" s="194" t="s">
        <v>3020</v>
      </c>
      <c r="M357" s="99" t="s">
        <v>2504</v>
      </c>
      <c r="N357" s="99"/>
      <c r="O357" s="99">
        <v>202202106</v>
      </c>
      <c r="P357" s="190">
        <v>26610066</v>
      </c>
      <c r="Q357" s="96" t="s">
        <v>146</v>
      </c>
      <c r="R357" s="96" t="s">
        <v>146</v>
      </c>
      <c r="S357" s="99" t="s">
        <v>146</v>
      </c>
      <c r="T357" s="111" t="s">
        <v>43</v>
      </c>
      <c r="U357" s="96" t="s">
        <v>1363</v>
      </c>
      <c r="V357" s="189">
        <v>44742</v>
      </c>
      <c r="W357" s="186">
        <v>131</v>
      </c>
      <c r="X357" s="99">
        <v>131</v>
      </c>
      <c r="Y357" s="99" t="s">
        <v>1317</v>
      </c>
      <c r="Z357" s="99" t="s">
        <v>168</v>
      </c>
      <c r="AA357" s="99" t="s">
        <v>169</v>
      </c>
      <c r="AB357" s="96" t="s">
        <v>3547</v>
      </c>
      <c r="AC357" s="96"/>
      <c r="AD357" s="97">
        <v>44838</v>
      </c>
      <c r="AE357" s="183" t="s">
        <v>4271</v>
      </c>
      <c r="AF357" s="186">
        <v>96</v>
      </c>
      <c r="AG357" s="186"/>
      <c r="AH357" s="187">
        <v>96</v>
      </c>
      <c r="AI357" s="99" t="s">
        <v>258</v>
      </c>
      <c r="AJ357" s="96" t="s">
        <v>491</v>
      </c>
      <c r="AK357" s="99" t="s">
        <v>3959</v>
      </c>
      <c r="AL357" s="97">
        <v>44819</v>
      </c>
      <c r="AM357" s="204">
        <v>25480280</v>
      </c>
      <c r="AN357" s="96" t="s">
        <v>3960</v>
      </c>
      <c r="AO357" s="99">
        <v>202208524</v>
      </c>
      <c r="AP357" s="181">
        <f t="shared" si="145"/>
        <v>1129786</v>
      </c>
      <c r="AQ357" s="99" t="s">
        <v>174</v>
      </c>
      <c r="AR357" s="99" t="s">
        <v>175</v>
      </c>
      <c r="AS357" s="203"/>
      <c r="AT357" s="200"/>
      <c r="AU357" s="200"/>
      <c r="AV357" s="260"/>
      <c r="AW357" s="260"/>
      <c r="AX357" s="260"/>
      <c r="AY357" s="167">
        <f t="shared" si="146"/>
        <v>4.2457091237579042E-2</v>
      </c>
      <c r="AZ357" s="139">
        <f t="shared" si="144"/>
        <v>1</v>
      </c>
      <c r="BA357" s="139">
        <f t="shared" si="147"/>
        <v>1</v>
      </c>
      <c r="BB357" s="132">
        <f>IF(AA357="CONTRATADO",IF(BA357=1,NETWORKDAYS.INTL(E357,AD357,1,[1]FESTIVOS!$B$3:$B$10)-1,AD357-E357))-BD357</f>
        <v>63</v>
      </c>
      <c r="BD357" s="207">
        <v>5</v>
      </c>
      <c r="BE357" s="208" t="s">
        <v>3990</v>
      </c>
    </row>
    <row r="358" spans="2:58" ht="43.9" customHeight="1" x14ac:dyDescent="0.25">
      <c r="B358" s="100">
        <f t="shared" si="143"/>
        <v>340</v>
      </c>
      <c r="C358" s="293" t="s">
        <v>2260</v>
      </c>
      <c r="D358" s="312" t="s">
        <v>32</v>
      </c>
      <c r="E358" s="272">
        <v>44742</v>
      </c>
      <c r="F358" s="268" t="s">
        <v>4436</v>
      </c>
      <c r="G358" s="269" t="s">
        <v>2261</v>
      </c>
      <c r="H358" s="265" t="s">
        <v>2262</v>
      </c>
      <c r="I358" s="265" t="s">
        <v>146</v>
      </c>
      <c r="J358" s="269" t="s">
        <v>2263</v>
      </c>
      <c r="K358" s="342">
        <v>21763648</v>
      </c>
      <c r="L358" s="282"/>
      <c r="M358" s="265" t="s">
        <v>2505</v>
      </c>
      <c r="N358" s="302" t="str">
        <f>MID(M358,5,3)</f>
        <v>IP-</v>
      </c>
      <c r="O358" s="265">
        <v>202203959</v>
      </c>
      <c r="P358" s="271"/>
      <c r="Q358" s="265" t="s">
        <v>146</v>
      </c>
      <c r="R358" s="265" t="s">
        <v>146</v>
      </c>
      <c r="S358" s="265" t="s">
        <v>146</v>
      </c>
      <c r="T358" s="111" t="s">
        <v>43</v>
      </c>
      <c r="U358" s="269" t="s">
        <v>277</v>
      </c>
      <c r="V358" s="286">
        <v>44777</v>
      </c>
      <c r="W358" s="265" t="e">
        <f t="shared" ref="W358:W365" si="148">+$D$4-E358</f>
        <v>#VALUE!</v>
      </c>
      <c r="X358" s="265" t="e">
        <f t="shared" ref="X358:X365" si="149">$D$4-V358</f>
        <v>#VALUE!</v>
      </c>
      <c r="Y358" s="265" t="s">
        <v>1300</v>
      </c>
      <c r="Z358" s="265" t="s">
        <v>214</v>
      </c>
      <c r="AA358" s="265" t="s">
        <v>215</v>
      </c>
      <c r="AB358" s="265"/>
      <c r="AC358" s="304" t="s">
        <v>3539</v>
      </c>
      <c r="AD358" s="272">
        <v>44812</v>
      </c>
      <c r="AE358" s="272"/>
      <c r="AF358" s="305" t="str">
        <f>+IF(AD358="","",TEXT(AD358,"mmm"))</f>
        <v>sep</v>
      </c>
      <c r="AG358" s="306">
        <f t="shared" ref="AG358:AG365" si="150">+AD358-E358</f>
        <v>70</v>
      </c>
      <c r="AH358" s="307">
        <f t="shared" ref="AH358:AH365" si="151">+AD358-V358</f>
        <v>35</v>
      </c>
      <c r="AI358" s="265" t="s">
        <v>258</v>
      </c>
      <c r="AJ358" s="265" t="s">
        <v>155</v>
      </c>
      <c r="AK358" s="265"/>
      <c r="AL358" s="265"/>
      <c r="AM358" s="309"/>
      <c r="AN358" s="269"/>
      <c r="AO358" s="265"/>
      <c r="AP358" s="309"/>
      <c r="AQ358" s="289"/>
      <c r="AR358" s="269"/>
      <c r="AS358" s="265"/>
      <c r="AT358" s="260"/>
      <c r="AU358" s="260"/>
      <c r="AV358" s="200"/>
      <c r="AW358" s="200"/>
      <c r="AX358" s="200"/>
      <c r="AY358" s="200"/>
      <c r="AZ358" s="139">
        <f t="shared" si="144"/>
        <v>1</v>
      </c>
      <c r="BA358" s="200"/>
      <c r="BB358" s="203"/>
      <c r="BC358" s="95"/>
      <c r="BD358" s="2"/>
      <c r="BE358" s="2"/>
    </row>
    <row r="359" spans="2:58" ht="43.9" customHeight="1" x14ac:dyDescent="0.25">
      <c r="B359" s="100">
        <f t="shared" si="143"/>
        <v>341</v>
      </c>
      <c r="C359" s="293" t="s">
        <v>2264</v>
      </c>
      <c r="D359" s="312" t="s">
        <v>32</v>
      </c>
      <c r="E359" s="272">
        <v>44742</v>
      </c>
      <c r="F359" s="268" t="s">
        <v>4436</v>
      </c>
      <c r="G359" s="269" t="s">
        <v>2265</v>
      </c>
      <c r="H359" s="265" t="s">
        <v>2266</v>
      </c>
      <c r="I359" s="265" t="s">
        <v>146</v>
      </c>
      <c r="J359" s="269" t="s">
        <v>2267</v>
      </c>
      <c r="K359" s="342">
        <v>66269198</v>
      </c>
      <c r="L359" s="282"/>
      <c r="M359" s="265" t="s">
        <v>2507</v>
      </c>
      <c r="N359" s="302" t="str">
        <f>MID(M359,5,3)</f>
        <v>IP-</v>
      </c>
      <c r="O359" s="265">
        <v>202203958</v>
      </c>
      <c r="P359" s="271"/>
      <c r="Q359" s="265" t="s">
        <v>146</v>
      </c>
      <c r="R359" s="265" t="s">
        <v>146</v>
      </c>
      <c r="S359" s="265" t="s">
        <v>146</v>
      </c>
      <c r="T359" s="111" t="s">
        <v>43</v>
      </c>
      <c r="U359" s="269" t="s">
        <v>277</v>
      </c>
      <c r="V359" s="286">
        <v>44777</v>
      </c>
      <c r="W359" s="265" t="e">
        <f t="shared" si="148"/>
        <v>#VALUE!</v>
      </c>
      <c r="X359" s="265" t="e">
        <f t="shared" si="149"/>
        <v>#VALUE!</v>
      </c>
      <c r="Y359" s="265"/>
      <c r="Z359" s="265" t="s">
        <v>152</v>
      </c>
      <c r="AA359" s="265" t="s">
        <v>153</v>
      </c>
      <c r="AB359" s="272">
        <v>44902</v>
      </c>
      <c r="AC359" s="304" t="s">
        <v>4069</v>
      </c>
      <c r="AD359" s="272">
        <v>44874</v>
      </c>
      <c r="AE359" s="265"/>
      <c r="AF359" s="305" t="str">
        <f>+IF(AD359="","",TEXT(AD359,"mmm"))</f>
        <v>nov</v>
      </c>
      <c r="AG359" s="306">
        <f t="shared" si="150"/>
        <v>132</v>
      </c>
      <c r="AH359" s="307">
        <f t="shared" si="151"/>
        <v>97</v>
      </c>
      <c r="AI359" s="265" t="s">
        <v>258</v>
      </c>
      <c r="AJ359" s="265" t="s">
        <v>155</v>
      </c>
      <c r="AK359" s="265"/>
      <c r="AL359" s="265"/>
      <c r="AM359" s="265"/>
      <c r="AN359" s="309"/>
      <c r="AO359" s="269"/>
      <c r="AP359" s="265"/>
      <c r="AQ359" s="309"/>
      <c r="AR359" s="289"/>
      <c r="AS359" s="269"/>
      <c r="AT359" s="265"/>
      <c r="AU359" s="260"/>
      <c r="AV359" s="260"/>
      <c r="AW359" s="200"/>
      <c r="AX359" s="200"/>
      <c r="AY359" s="200"/>
      <c r="AZ359" s="139">
        <f t="shared" si="144"/>
        <v>1</v>
      </c>
      <c r="BA359" s="200"/>
      <c r="BB359" s="200"/>
      <c r="BC359" s="3"/>
      <c r="BD359" s="95"/>
      <c r="BE359" s="2"/>
    </row>
    <row r="360" spans="2:58" ht="43.9" customHeight="1" x14ac:dyDescent="0.25">
      <c r="B360" s="100">
        <f t="shared" si="143"/>
        <v>342</v>
      </c>
      <c r="C360" s="110" t="s">
        <v>2268</v>
      </c>
      <c r="D360" s="99" t="s">
        <v>32</v>
      </c>
      <c r="E360" s="189">
        <v>44742</v>
      </c>
      <c r="F360" s="268" t="s">
        <v>4436</v>
      </c>
      <c r="G360" s="96" t="s">
        <v>2269</v>
      </c>
      <c r="H360" s="96" t="s">
        <v>2270</v>
      </c>
      <c r="I360" s="96" t="s">
        <v>146</v>
      </c>
      <c r="J360" s="96" t="s">
        <v>2271</v>
      </c>
      <c r="K360" s="344">
        <v>67851991</v>
      </c>
      <c r="L360" s="194" t="s">
        <v>3030</v>
      </c>
      <c r="M360" s="99" t="s">
        <v>2508</v>
      </c>
      <c r="N360" s="99"/>
      <c r="O360" s="99">
        <v>202203957</v>
      </c>
      <c r="P360" s="185"/>
      <c r="Q360" s="96" t="s">
        <v>146</v>
      </c>
      <c r="R360" s="96" t="s">
        <v>146</v>
      </c>
      <c r="S360" s="99" t="s">
        <v>146</v>
      </c>
      <c r="T360" s="111" t="s">
        <v>43</v>
      </c>
      <c r="U360" s="96" t="s">
        <v>277</v>
      </c>
      <c r="V360" s="112">
        <v>44777</v>
      </c>
      <c r="W360" s="186" t="e">
        <f t="shared" si="148"/>
        <v>#VALUE!</v>
      </c>
      <c r="X360" s="99" t="e">
        <f t="shared" si="149"/>
        <v>#VALUE!</v>
      </c>
      <c r="Y360" s="99" t="s">
        <v>1317</v>
      </c>
      <c r="Z360" s="99" t="s">
        <v>168</v>
      </c>
      <c r="AA360" s="99" t="s">
        <v>169</v>
      </c>
      <c r="AB360" s="96" t="s">
        <v>2509</v>
      </c>
      <c r="AC360" s="99"/>
      <c r="AD360" s="97">
        <v>44817</v>
      </c>
      <c r="AE360" s="183" t="s">
        <v>4262</v>
      </c>
      <c r="AF360" s="183"/>
      <c r="AG360" s="186">
        <f t="shared" si="150"/>
        <v>75</v>
      </c>
      <c r="AH360" s="187">
        <f t="shared" si="151"/>
        <v>40</v>
      </c>
      <c r="AI360" s="99" t="s">
        <v>258</v>
      </c>
      <c r="AJ360" s="96" t="s">
        <v>155</v>
      </c>
      <c r="AK360" s="99" t="s">
        <v>3711</v>
      </c>
      <c r="AL360" s="97">
        <v>44809</v>
      </c>
      <c r="AM360" s="204">
        <v>64070076</v>
      </c>
      <c r="AN360" s="96" t="s">
        <v>3712</v>
      </c>
      <c r="AO360" s="99">
        <v>202208361</v>
      </c>
      <c r="AP360" s="181">
        <f t="shared" ref="AP360" si="152">+K360-AM360</f>
        <v>3781915</v>
      </c>
      <c r="AQ360" s="193"/>
      <c r="AR360" s="193"/>
      <c r="AS360" s="99"/>
      <c r="AT360" s="99"/>
      <c r="AU360" s="193"/>
      <c r="AV360" s="99" t="s">
        <v>174</v>
      </c>
      <c r="AW360" s="99" t="s">
        <v>175</v>
      </c>
      <c r="AX360" s="96" t="s">
        <v>2506</v>
      </c>
      <c r="AY360" s="167">
        <f>+AP360/K360</f>
        <v>5.573771593526268E-2</v>
      </c>
      <c r="AZ360" s="139">
        <f t="shared" si="144"/>
        <v>1</v>
      </c>
      <c r="BA360" s="139">
        <f>IF(T360="Invitación Privada",1,IF(T360="Invitación Pública",2,0))</f>
        <v>1</v>
      </c>
      <c r="BB360" s="132">
        <f>IF(AA360="CONTRATADO",IF(BA360=1,NETWORKDAYS.INTL(E360,AD360,1,[1]FESTIVOS!$B$3:$B$10)-1,AD360-E360))-BD360</f>
        <v>30</v>
      </c>
      <c r="BD360" s="207">
        <v>23</v>
      </c>
      <c r="BE360" s="208" t="s">
        <v>3896</v>
      </c>
    </row>
    <row r="361" spans="2:58" ht="43.9" customHeight="1" x14ac:dyDescent="0.25">
      <c r="B361" s="100">
        <f t="shared" si="143"/>
        <v>343</v>
      </c>
      <c r="C361" s="293" t="s">
        <v>2272</v>
      </c>
      <c r="D361" s="312" t="s">
        <v>32</v>
      </c>
      <c r="E361" s="272">
        <v>44742</v>
      </c>
      <c r="F361" s="268" t="s">
        <v>4436</v>
      </c>
      <c r="G361" s="269" t="s">
        <v>2273</v>
      </c>
      <c r="H361" s="265" t="s">
        <v>2274</v>
      </c>
      <c r="I361" s="265" t="s">
        <v>146</v>
      </c>
      <c r="J361" s="269" t="s">
        <v>2275</v>
      </c>
      <c r="K361" s="342">
        <v>31887240</v>
      </c>
      <c r="L361" s="282"/>
      <c r="M361" s="265" t="s">
        <v>2510</v>
      </c>
      <c r="N361" s="302" t="str">
        <f>MID(M361,5,3)</f>
        <v>IP-</v>
      </c>
      <c r="O361" s="265">
        <v>202203959</v>
      </c>
      <c r="P361" s="271"/>
      <c r="Q361" s="265" t="s">
        <v>146</v>
      </c>
      <c r="R361" s="265" t="s">
        <v>146</v>
      </c>
      <c r="S361" s="265" t="s">
        <v>146</v>
      </c>
      <c r="T361" s="111" t="s">
        <v>43</v>
      </c>
      <c r="U361" s="269" t="s">
        <v>277</v>
      </c>
      <c r="V361" s="286">
        <v>44777</v>
      </c>
      <c r="W361" s="303" t="e">
        <f t="shared" si="148"/>
        <v>#VALUE!</v>
      </c>
      <c r="X361" s="303" t="e">
        <f t="shared" si="149"/>
        <v>#VALUE!</v>
      </c>
      <c r="Y361" s="265" t="s">
        <v>1300</v>
      </c>
      <c r="Z361" s="265" t="s">
        <v>152</v>
      </c>
      <c r="AA361" s="265" t="s">
        <v>153</v>
      </c>
      <c r="AB361" s="265"/>
      <c r="AC361" s="304" t="s">
        <v>3168</v>
      </c>
      <c r="AD361" s="272">
        <v>44797</v>
      </c>
      <c r="AE361" s="272"/>
      <c r="AF361" s="305" t="str">
        <f>+IF(AD361="","",TEXT(AD361,"mmm"))</f>
        <v>ago</v>
      </c>
      <c r="AG361" s="306">
        <f t="shared" si="150"/>
        <v>55</v>
      </c>
      <c r="AH361" s="307">
        <f t="shared" si="151"/>
        <v>20</v>
      </c>
      <c r="AI361" s="265" t="s">
        <v>258</v>
      </c>
      <c r="AJ361" s="265" t="s">
        <v>155</v>
      </c>
      <c r="AK361" s="265"/>
      <c r="AL361" s="265"/>
      <c r="AM361" s="265"/>
      <c r="AN361" s="309"/>
      <c r="AO361" s="269"/>
      <c r="AP361" s="265"/>
      <c r="AQ361" s="309"/>
      <c r="AR361" s="289"/>
      <c r="AS361" s="269"/>
      <c r="AT361" s="265"/>
      <c r="AU361" s="260"/>
      <c r="AV361" s="260"/>
      <c r="AW361" s="200"/>
      <c r="AX361" s="200"/>
      <c r="AY361" s="200"/>
      <c r="AZ361" s="139">
        <f t="shared" si="144"/>
        <v>1</v>
      </c>
      <c r="BA361" s="200"/>
      <c r="BB361" s="200"/>
      <c r="BC361" s="3"/>
      <c r="BD361" s="95"/>
      <c r="BE361" s="2"/>
    </row>
    <row r="362" spans="2:58" ht="43.9" customHeight="1" x14ac:dyDescent="0.25">
      <c r="B362" s="100">
        <f t="shared" si="143"/>
        <v>344</v>
      </c>
      <c r="C362" s="110" t="s">
        <v>2276</v>
      </c>
      <c r="D362" s="99" t="s">
        <v>28</v>
      </c>
      <c r="E362" s="189">
        <v>44743</v>
      </c>
      <c r="F362" s="268" t="s">
        <v>4437</v>
      </c>
      <c r="G362" s="96" t="s">
        <v>2277</v>
      </c>
      <c r="H362" s="96" t="s">
        <v>2278</v>
      </c>
      <c r="I362" s="96" t="s">
        <v>146</v>
      </c>
      <c r="J362" s="96" t="s">
        <v>2279</v>
      </c>
      <c r="K362" s="344">
        <v>30697842</v>
      </c>
      <c r="L362" s="194" t="s">
        <v>3020</v>
      </c>
      <c r="M362" s="194" t="s">
        <v>3713</v>
      </c>
      <c r="N362" s="194"/>
      <c r="O362" s="99" t="s">
        <v>2280</v>
      </c>
      <c r="P362" s="185">
        <v>20000000</v>
      </c>
      <c r="Q362" s="96" t="s">
        <v>146</v>
      </c>
      <c r="R362" s="96" t="s">
        <v>146</v>
      </c>
      <c r="S362" s="99" t="s">
        <v>146</v>
      </c>
      <c r="T362" s="111" t="s">
        <v>43</v>
      </c>
      <c r="U362" s="96" t="s">
        <v>503</v>
      </c>
      <c r="V362" s="112">
        <v>44781</v>
      </c>
      <c r="W362" s="186" t="e">
        <f t="shared" si="148"/>
        <v>#VALUE!</v>
      </c>
      <c r="X362" s="99" t="e">
        <f t="shared" si="149"/>
        <v>#VALUE!</v>
      </c>
      <c r="Y362" s="99" t="s">
        <v>1317</v>
      </c>
      <c r="Z362" s="99" t="s">
        <v>168</v>
      </c>
      <c r="AA362" s="99" t="s">
        <v>169</v>
      </c>
      <c r="AB362" s="96"/>
      <c r="AC362" s="99"/>
      <c r="AD362" s="97">
        <v>44825</v>
      </c>
      <c r="AE362" s="183" t="s">
        <v>4262</v>
      </c>
      <c r="AF362" s="183"/>
      <c r="AG362" s="186">
        <f t="shared" si="150"/>
        <v>82</v>
      </c>
      <c r="AH362" s="187">
        <f t="shared" si="151"/>
        <v>44</v>
      </c>
      <c r="AI362" s="99" t="s">
        <v>258</v>
      </c>
      <c r="AJ362" s="96" t="s">
        <v>171</v>
      </c>
      <c r="AK362" s="99" t="s">
        <v>3714</v>
      </c>
      <c r="AL362" s="97">
        <v>44818</v>
      </c>
      <c r="AM362" s="204">
        <v>30684578</v>
      </c>
      <c r="AN362" s="96" t="s">
        <v>1058</v>
      </c>
      <c r="AO362" s="99">
        <v>202208412</v>
      </c>
      <c r="AP362" s="181">
        <f t="shared" ref="AP362:AP364" si="153">+K362-AM362</f>
        <v>13264</v>
      </c>
      <c r="AQ362" s="193"/>
      <c r="AR362" s="193"/>
      <c r="AS362" s="99"/>
      <c r="AT362" s="99"/>
      <c r="AU362" s="193"/>
      <c r="AV362" s="99" t="s">
        <v>174</v>
      </c>
      <c r="AW362" s="99" t="s">
        <v>175</v>
      </c>
      <c r="AX362" s="96" t="s">
        <v>2511</v>
      </c>
      <c r="AY362" s="167">
        <f t="shared" ref="AY362:AY364" si="154">+AP362/K362</f>
        <v>4.3208248970725692E-4</v>
      </c>
      <c r="AZ362" s="139">
        <f t="shared" si="144"/>
        <v>1</v>
      </c>
      <c r="BA362" s="139">
        <f>IF(T362="Invitación Privada",1,IF(T362="Invitación Pública",2,0))</f>
        <v>1</v>
      </c>
      <c r="BB362" s="132">
        <f>IF(AA362="CONTRATADO",IF(BA362=1,NETWORKDAYS.INTL(E362,AD362,1,[1]FESTIVOS!$B$3:$B$10)-1,AD362-E362))-BD362</f>
        <v>58</v>
      </c>
      <c r="BD362" s="207"/>
      <c r="BE362" s="208"/>
    </row>
    <row r="363" spans="2:58" ht="43.9" customHeight="1" x14ac:dyDescent="0.25">
      <c r="B363" s="100">
        <f t="shared" si="143"/>
        <v>345</v>
      </c>
      <c r="C363" s="110" t="s">
        <v>2281</v>
      </c>
      <c r="D363" s="99" t="s">
        <v>28</v>
      </c>
      <c r="E363" s="189">
        <v>44743</v>
      </c>
      <c r="F363" s="268" t="s">
        <v>4437</v>
      </c>
      <c r="G363" s="96" t="s">
        <v>2282</v>
      </c>
      <c r="H363" s="96" t="s">
        <v>2283</v>
      </c>
      <c r="I363" s="96" t="s">
        <v>146</v>
      </c>
      <c r="J363" s="133" t="s">
        <v>2284</v>
      </c>
      <c r="K363" s="344">
        <v>69914880</v>
      </c>
      <c r="L363" s="194" t="s">
        <v>3020</v>
      </c>
      <c r="M363" s="194" t="s">
        <v>3882</v>
      </c>
      <c r="N363" s="194"/>
      <c r="O363" s="99">
        <v>202202234</v>
      </c>
      <c r="P363" s="190">
        <v>69914880</v>
      </c>
      <c r="Q363" s="96" t="s">
        <v>146</v>
      </c>
      <c r="R363" s="96" t="s">
        <v>146</v>
      </c>
      <c r="S363" s="99" t="s">
        <v>146</v>
      </c>
      <c r="T363" s="111" t="s">
        <v>43</v>
      </c>
      <c r="U363" s="96" t="s">
        <v>277</v>
      </c>
      <c r="V363" s="112">
        <v>44781</v>
      </c>
      <c r="W363" s="186" t="e">
        <f t="shared" si="148"/>
        <v>#VALUE!</v>
      </c>
      <c r="X363" s="99" t="e">
        <f t="shared" si="149"/>
        <v>#VALUE!</v>
      </c>
      <c r="Y363" s="99" t="s">
        <v>1317</v>
      </c>
      <c r="Z363" s="99" t="s">
        <v>168</v>
      </c>
      <c r="AA363" s="99" t="s">
        <v>169</v>
      </c>
      <c r="AB363" s="96"/>
      <c r="AC363" s="99"/>
      <c r="AD363" s="97">
        <v>44827</v>
      </c>
      <c r="AE363" s="183" t="s">
        <v>4262</v>
      </c>
      <c r="AF363" s="183"/>
      <c r="AG363" s="186">
        <f t="shared" si="150"/>
        <v>84</v>
      </c>
      <c r="AH363" s="187">
        <f t="shared" si="151"/>
        <v>46</v>
      </c>
      <c r="AI363" s="99" t="s">
        <v>258</v>
      </c>
      <c r="AJ363" s="96" t="s">
        <v>171</v>
      </c>
      <c r="AK363" s="99" t="s">
        <v>3715</v>
      </c>
      <c r="AL363" s="97">
        <v>44819</v>
      </c>
      <c r="AM363" s="204">
        <v>57330202</v>
      </c>
      <c r="AN363" s="96" t="s">
        <v>3716</v>
      </c>
      <c r="AO363" s="99"/>
      <c r="AP363" s="181">
        <f t="shared" si="153"/>
        <v>12584678</v>
      </c>
      <c r="AQ363" s="193"/>
      <c r="AR363" s="193"/>
      <c r="AS363" s="99"/>
      <c r="AT363" s="99"/>
      <c r="AU363" s="193"/>
      <c r="AV363" s="99" t="s">
        <v>174</v>
      </c>
      <c r="AW363" s="99" t="s">
        <v>175</v>
      </c>
      <c r="AX363" s="96" t="s">
        <v>2511</v>
      </c>
      <c r="AY363" s="167">
        <f t="shared" si="154"/>
        <v>0.17999999427875726</v>
      </c>
      <c r="AZ363" s="139">
        <f t="shared" si="144"/>
        <v>1</v>
      </c>
      <c r="BA363" s="139">
        <f>IF(T363="Invitación Privada",1,IF(T363="Invitación Pública",2,0))</f>
        <v>1</v>
      </c>
      <c r="BB363" s="132">
        <f>IF(AA363="CONTRATADO",IF(BA363=1,NETWORKDAYS.INTL(E363,AD363,1,[1]FESTIVOS!$B$3:$B$10)-1,AD363-E363))-BD363</f>
        <v>30</v>
      </c>
      <c r="BD363" s="207">
        <v>30</v>
      </c>
      <c r="BE363" s="208" t="s">
        <v>3893</v>
      </c>
    </row>
    <row r="364" spans="2:58" ht="43.9" customHeight="1" x14ac:dyDescent="0.25">
      <c r="B364" s="100">
        <f t="shared" si="143"/>
        <v>346</v>
      </c>
      <c r="C364" s="293" t="s">
        <v>2285</v>
      </c>
      <c r="D364" s="265" t="s">
        <v>28</v>
      </c>
      <c r="E364" s="272">
        <v>44743</v>
      </c>
      <c r="F364" s="268" t="s">
        <v>4437</v>
      </c>
      <c r="G364" s="269" t="s">
        <v>2286</v>
      </c>
      <c r="H364" s="265" t="s">
        <v>2287</v>
      </c>
      <c r="I364" s="265" t="s">
        <v>1764</v>
      </c>
      <c r="J364" s="269" t="s">
        <v>2288</v>
      </c>
      <c r="K364" s="342">
        <v>110134500</v>
      </c>
      <c r="L364" s="282"/>
      <c r="M364" s="265" t="s">
        <v>2512</v>
      </c>
      <c r="N364" s="302" t="str">
        <f>MID(M364,5,3)</f>
        <v>IP-</v>
      </c>
      <c r="O364" s="265">
        <v>202202688</v>
      </c>
      <c r="P364" s="271">
        <v>110134500</v>
      </c>
      <c r="Q364" s="265" t="s">
        <v>146</v>
      </c>
      <c r="R364" s="265" t="s">
        <v>146</v>
      </c>
      <c r="S364" s="265" t="s">
        <v>146</v>
      </c>
      <c r="T364" s="111" t="s">
        <v>43</v>
      </c>
      <c r="U364" s="269" t="s">
        <v>151</v>
      </c>
      <c r="V364" s="284">
        <v>44743</v>
      </c>
      <c r="W364" s="303" t="e">
        <f t="shared" si="148"/>
        <v>#VALUE!</v>
      </c>
      <c r="X364" s="303" t="e">
        <f t="shared" si="149"/>
        <v>#VALUE!</v>
      </c>
      <c r="Y364" s="265" t="s">
        <v>1300</v>
      </c>
      <c r="Z364" s="265" t="s">
        <v>168</v>
      </c>
      <c r="AA364" s="265" t="s">
        <v>169</v>
      </c>
      <c r="AB364" s="265"/>
      <c r="AC364" s="304" t="s">
        <v>3530</v>
      </c>
      <c r="AD364" s="272">
        <v>44812</v>
      </c>
      <c r="AE364" s="272" t="s">
        <v>4264</v>
      </c>
      <c r="AF364" s="305" t="str">
        <f>+IF(AD364="","",TEXT(AD364,"mmm"))</f>
        <v>sep</v>
      </c>
      <c r="AG364" s="306">
        <f t="shared" si="150"/>
        <v>69</v>
      </c>
      <c r="AH364" s="307">
        <f t="shared" si="151"/>
        <v>69</v>
      </c>
      <c r="AI364" s="265" t="s">
        <v>2462</v>
      </c>
      <c r="AJ364" s="265" t="s">
        <v>491</v>
      </c>
      <c r="AK364" s="265" t="s">
        <v>4235</v>
      </c>
      <c r="AL364" s="272">
        <v>44778</v>
      </c>
      <c r="AM364" s="309">
        <v>110134500</v>
      </c>
      <c r="AN364" s="310" t="s">
        <v>4236</v>
      </c>
      <c r="AO364" s="265">
        <v>202207715</v>
      </c>
      <c r="AP364" s="181">
        <f t="shared" si="153"/>
        <v>0</v>
      </c>
      <c r="AQ364" s="289"/>
      <c r="AR364" s="269"/>
      <c r="AS364" s="265"/>
      <c r="AT364" s="194"/>
      <c r="AU364" s="193"/>
      <c r="AV364" s="167"/>
      <c r="AW364" s="139"/>
      <c r="AX364" s="139"/>
      <c r="AY364" s="167">
        <f t="shared" si="154"/>
        <v>0</v>
      </c>
      <c r="AZ364" s="139">
        <f t="shared" si="144"/>
        <v>1</v>
      </c>
      <c r="BA364" s="139">
        <f>IF(T364="Invitación Privada",1,IF(T364="Invitación Pública",2,0))</f>
        <v>1</v>
      </c>
      <c r="BB364" s="132">
        <f>IF(AA364="CONTRATADO",IF(BA364=1,NETWORKDAYS.INTL(E364,AD364,1,[1]FESTIVOS!$B$3:$B$10)-1,AD364-E364))-BD364</f>
        <v>22</v>
      </c>
      <c r="BC364" s="2"/>
      <c r="BD364" s="3">
        <v>27</v>
      </c>
      <c r="BE364" s="95" t="s">
        <v>4229</v>
      </c>
    </row>
    <row r="365" spans="2:58" ht="43.9" customHeight="1" x14ac:dyDescent="0.25">
      <c r="B365" s="100">
        <f t="shared" si="143"/>
        <v>347</v>
      </c>
      <c r="C365" s="293" t="s">
        <v>2289</v>
      </c>
      <c r="D365" s="312" t="s">
        <v>32</v>
      </c>
      <c r="E365" s="272">
        <v>44743</v>
      </c>
      <c r="F365" s="268" t="s">
        <v>4437</v>
      </c>
      <c r="G365" s="269" t="s">
        <v>2037</v>
      </c>
      <c r="H365" s="265" t="s">
        <v>2038</v>
      </c>
      <c r="I365" s="265" t="s">
        <v>146</v>
      </c>
      <c r="J365" s="269" t="s">
        <v>2039</v>
      </c>
      <c r="K365" s="342">
        <v>499985714</v>
      </c>
      <c r="L365" s="282"/>
      <c r="M365" s="265" t="s">
        <v>2426</v>
      </c>
      <c r="N365" s="302" t="str">
        <f>MID(M365,5,3)</f>
        <v>IP-</v>
      </c>
      <c r="O365" s="265">
        <v>202203887</v>
      </c>
      <c r="P365" s="271"/>
      <c r="Q365" s="265" t="s">
        <v>146</v>
      </c>
      <c r="R365" s="265" t="s">
        <v>146</v>
      </c>
      <c r="S365" s="265" t="s">
        <v>146</v>
      </c>
      <c r="T365" s="111" t="s">
        <v>43</v>
      </c>
      <c r="U365" s="269" t="s">
        <v>1904</v>
      </c>
      <c r="V365" s="285">
        <v>44743</v>
      </c>
      <c r="W365" s="303" t="e">
        <f t="shared" si="148"/>
        <v>#VALUE!</v>
      </c>
      <c r="X365" s="303" t="e">
        <f t="shared" si="149"/>
        <v>#VALUE!</v>
      </c>
      <c r="Y365" s="265" t="s">
        <v>1300</v>
      </c>
      <c r="Z365" s="265" t="s">
        <v>214</v>
      </c>
      <c r="AA365" s="265" t="s">
        <v>215</v>
      </c>
      <c r="AB365" s="265"/>
      <c r="AC365" s="304" t="s">
        <v>2427</v>
      </c>
      <c r="AD365" s="285">
        <v>44761</v>
      </c>
      <c r="AE365" s="285"/>
      <c r="AF365" s="305" t="str">
        <f>+IF(AD365="","",TEXT(AD365,"mmm"))</f>
        <v>jul</v>
      </c>
      <c r="AG365" s="306">
        <f t="shared" si="150"/>
        <v>18</v>
      </c>
      <c r="AH365" s="307">
        <f t="shared" si="151"/>
        <v>18</v>
      </c>
      <c r="AI365" s="265"/>
      <c r="AJ365" s="265" t="s">
        <v>2290</v>
      </c>
      <c r="AK365" s="265"/>
      <c r="AL365" s="265"/>
      <c r="AM365" s="309"/>
      <c r="AN365" s="269"/>
      <c r="AO365" s="265"/>
      <c r="AP365" s="309"/>
      <c r="AQ365" s="289"/>
      <c r="AR365" s="269"/>
      <c r="AS365" s="265"/>
      <c r="AT365" s="260"/>
      <c r="AU365" s="260"/>
      <c r="AV365" s="200"/>
      <c r="AW365" s="200"/>
      <c r="AX365" s="200"/>
      <c r="AY365" s="200"/>
      <c r="AZ365" s="139">
        <f t="shared" si="144"/>
        <v>1</v>
      </c>
      <c r="BA365" s="200"/>
      <c r="BB365" s="203"/>
      <c r="BC365" s="95"/>
      <c r="BD365" s="2"/>
      <c r="BE365" s="2"/>
    </row>
    <row r="366" spans="2:58" ht="43.9" customHeight="1" x14ac:dyDescent="0.25">
      <c r="B366" s="100">
        <f t="shared" si="143"/>
        <v>348</v>
      </c>
      <c r="C366" s="110" t="s">
        <v>2291</v>
      </c>
      <c r="D366" s="99" t="s">
        <v>28</v>
      </c>
      <c r="E366" s="142">
        <v>44747</v>
      </c>
      <c r="F366" s="268" t="s">
        <v>4437</v>
      </c>
      <c r="G366" s="96" t="s">
        <v>2292</v>
      </c>
      <c r="H366" s="96" t="s">
        <v>2293</v>
      </c>
      <c r="I366" s="96" t="s">
        <v>146</v>
      </c>
      <c r="J366" s="133" t="s">
        <v>2294</v>
      </c>
      <c r="K366" s="343">
        <v>499608410</v>
      </c>
      <c r="L366" s="99" t="s">
        <v>2514</v>
      </c>
      <c r="M366" s="96" t="s">
        <v>2515</v>
      </c>
      <c r="N366" s="96"/>
      <c r="O366" s="99">
        <v>202203017</v>
      </c>
      <c r="P366" s="168">
        <v>499608410</v>
      </c>
      <c r="Q366" s="96" t="s">
        <v>146</v>
      </c>
      <c r="R366" s="96" t="s">
        <v>146</v>
      </c>
      <c r="S366" s="99" t="s">
        <v>146</v>
      </c>
      <c r="T366" s="111" t="s">
        <v>43</v>
      </c>
      <c r="U366" s="96" t="s">
        <v>452</v>
      </c>
      <c r="V366" s="119">
        <v>44749</v>
      </c>
      <c r="W366" s="170">
        <v>71</v>
      </c>
      <c r="X366" s="99">
        <v>69</v>
      </c>
      <c r="Y366" s="99" t="s">
        <v>1317</v>
      </c>
      <c r="Z366" s="99" t="s">
        <v>168</v>
      </c>
      <c r="AA366" s="99" t="s">
        <v>169</v>
      </c>
      <c r="AB366" s="96" t="s">
        <v>2516</v>
      </c>
      <c r="AC366" s="99"/>
      <c r="AD366" s="97">
        <v>44775</v>
      </c>
      <c r="AE366" s="183" t="s">
        <v>4438</v>
      </c>
      <c r="AF366" s="171"/>
      <c r="AG366" s="170">
        <v>28</v>
      </c>
      <c r="AH366" s="144">
        <v>26</v>
      </c>
      <c r="AI366" s="99" t="s">
        <v>258</v>
      </c>
      <c r="AJ366" s="96" t="s">
        <v>155</v>
      </c>
      <c r="AK366" s="99" t="s">
        <v>2517</v>
      </c>
      <c r="AL366" s="97">
        <v>44763</v>
      </c>
      <c r="AM366" s="204">
        <v>497000000</v>
      </c>
      <c r="AN366" s="96" t="s">
        <v>2518</v>
      </c>
      <c r="AO366" s="99">
        <v>202207205</v>
      </c>
      <c r="AP366" s="181">
        <f t="shared" ref="AP366:AP368" si="155">+K366-AM366</f>
        <v>2608410</v>
      </c>
      <c r="AQ366" s="138"/>
      <c r="AR366" s="138"/>
      <c r="AS366" s="99"/>
      <c r="AT366" s="99"/>
      <c r="AU366" s="138"/>
      <c r="AV366" s="99" t="s">
        <v>174</v>
      </c>
      <c r="AW366" s="99" t="s">
        <v>175</v>
      </c>
      <c r="AX366" s="96" t="s">
        <v>2394</v>
      </c>
      <c r="AY366" s="167">
        <f t="shared" ref="AY366:AY368" si="156">+AP366/K366</f>
        <v>5.2209089114412625E-3</v>
      </c>
      <c r="AZ366" s="139">
        <f t="shared" si="144"/>
        <v>1</v>
      </c>
      <c r="BA366" s="139">
        <f>IF(T366="Invitación Privada",1,IF(T366="Invitación Pública",2,0))</f>
        <v>1</v>
      </c>
      <c r="BB366" s="132">
        <f>IF(AA366="CONTRATADO",IF(BA366=1,NETWORKDAYS.INTL(E366,AD366,1,[1]FESTIVOS!$B$3:$B$10)-1,AD366-E366))-BD366</f>
        <v>20</v>
      </c>
      <c r="BC366" s="156"/>
      <c r="BD366" s="162"/>
      <c r="BE366" s="163"/>
    </row>
    <row r="367" spans="2:58" ht="43.9" customHeight="1" x14ac:dyDescent="0.25">
      <c r="B367" s="100">
        <f t="shared" si="143"/>
        <v>349</v>
      </c>
      <c r="C367" s="110" t="s">
        <v>2295</v>
      </c>
      <c r="D367" s="99" t="s">
        <v>28</v>
      </c>
      <c r="E367" s="189">
        <v>44747</v>
      </c>
      <c r="F367" s="268" t="s">
        <v>4437</v>
      </c>
      <c r="G367" s="191" t="s">
        <v>1247</v>
      </c>
      <c r="H367" s="96" t="s">
        <v>1248</v>
      </c>
      <c r="I367" s="96" t="s">
        <v>146</v>
      </c>
      <c r="J367" s="96" t="s">
        <v>1249</v>
      </c>
      <c r="K367" s="347">
        <v>4996810</v>
      </c>
      <c r="L367" s="194" t="s">
        <v>3457</v>
      </c>
      <c r="M367" s="96" t="s">
        <v>2519</v>
      </c>
      <c r="N367" s="96"/>
      <c r="O367" s="99">
        <v>202200780</v>
      </c>
      <c r="P367" s="202">
        <v>4996810</v>
      </c>
      <c r="Q367" s="96" t="s">
        <v>146</v>
      </c>
      <c r="R367" s="96" t="s">
        <v>146</v>
      </c>
      <c r="S367" s="99" t="s">
        <v>146</v>
      </c>
      <c r="T367" s="111" t="s">
        <v>43</v>
      </c>
      <c r="U367" s="96" t="s">
        <v>277</v>
      </c>
      <c r="V367" s="189">
        <v>44747</v>
      </c>
      <c r="W367" s="186" t="e">
        <f>+$D$4-E367</f>
        <v>#VALUE!</v>
      </c>
      <c r="X367" s="99" t="e">
        <f>$D$4-V367</f>
        <v>#VALUE!</v>
      </c>
      <c r="Y367" s="99" t="s">
        <v>1317</v>
      </c>
      <c r="Z367" s="99" t="s">
        <v>168</v>
      </c>
      <c r="AA367" s="99" t="s">
        <v>169</v>
      </c>
      <c r="AB367" s="96" t="s">
        <v>2520</v>
      </c>
      <c r="AC367" s="99" t="s">
        <v>2521</v>
      </c>
      <c r="AD367" s="97">
        <v>44817</v>
      </c>
      <c r="AE367" s="183" t="s">
        <v>4262</v>
      </c>
      <c r="AF367" s="183"/>
      <c r="AG367" s="186">
        <f>+AD367-E367</f>
        <v>70</v>
      </c>
      <c r="AH367" s="187">
        <f>+AD367-V367</f>
        <v>70</v>
      </c>
      <c r="AI367" s="99" t="s">
        <v>258</v>
      </c>
      <c r="AJ367" s="96" t="s">
        <v>171</v>
      </c>
      <c r="AK367" s="99" t="s">
        <v>3717</v>
      </c>
      <c r="AL367" s="97">
        <v>44775</v>
      </c>
      <c r="AM367" s="204">
        <v>4996810</v>
      </c>
      <c r="AN367" s="96" t="s">
        <v>3718</v>
      </c>
      <c r="AO367" s="99">
        <v>202207741</v>
      </c>
      <c r="AP367" s="181">
        <f t="shared" si="155"/>
        <v>0</v>
      </c>
      <c r="AQ367" s="193"/>
      <c r="AR367" s="193"/>
      <c r="AS367" s="99"/>
      <c r="AT367" s="99"/>
      <c r="AU367" s="193"/>
      <c r="AV367" s="99" t="s">
        <v>174</v>
      </c>
      <c r="AW367" s="99" t="s">
        <v>175</v>
      </c>
      <c r="AX367" s="96" t="s">
        <v>2380</v>
      </c>
      <c r="AY367" s="167">
        <f t="shared" si="156"/>
        <v>0</v>
      </c>
      <c r="AZ367" s="139">
        <f t="shared" si="144"/>
        <v>1</v>
      </c>
      <c r="BA367" s="139">
        <f>IF(T367="Invitación Privada",1,IF(T367="Invitación Pública",2,0))</f>
        <v>1</v>
      </c>
      <c r="BB367" s="132">
        <f>IF(AA367="CONTRATADO",IF(BA367=1,NETWORKDAYS.INTL(E367,AD367,1,[1]FESTIVOS!$B$3:$B$10)-1,AD367-E367))-BD367</f>
        <v>18</v>
      </c>
      <c r="BD367" s="207">
        <f>12+13+7</f>
        <v>32</v>
      </c>
      <c r="BE367" s="208" t="s">
        <v>3894</v>
      </c>
    </row>
    <row r="368" spans="2:58" ht="43.9" customHeight="1" x14ac:dyDescent="0.25">
      <c r="B368" s="100">
        <f t="shared" si="143"/>
        <v>350</v>
      </c>
      <c r="C368" s="110" t="s">
        <v>2296</v>
      </c>
      <c r="D368" s="99" t="s">
        <v>28</v>
      </c>
      <c r="E368" s="189">
        <v>44747</v>
      </c>
      <c r="F368" s="268" t="s">
        <v>4437</v>
      </c>
      <c r="G368" s="96" t="s">
        <v>2297</v>
      </c>
      <c r="H368" s="96" t="s">
        <v>2298</v>
      </c>
      <c r="I368" s="96" t="s">
        <v>146</v>
      </c>
      <c r="J368" s="96" t="s">
        <v>2299</v>
      </c>
      <c r="K368" s="347">
        <v>117518450</v>
      </c>
      <c r="L368" s="96" t="s">
        <v>3025</v>
      </c>
      <c r="M368" s="96" t="s">
        <v>2522</v>
      </c>
      <c r="N368" s="96"/>
      <c r="O368" s="99" t="s">
        <v>2300</v>
      </c>
      <c r="P368" s="204">
        <v>117518450</v>
      </c>
      <c r="Q368" s="96" t="s">
        <v>146</v>
      </c>
      <c r="R368" s="96" t="s">
        <v>146</v>
      </c>
      <c r="S368" s="99" t="s">
        <v>146</v>
      </c>
      <c r="T368" s="111" t="s">
        <v>43</v>
      </c>
      <c r="U368" s="96" t="s">
        <v>503</v>
      </c>
      <c r="V368" s="192">
        <v>44785</v>
      </c>
      <c r="W368" s="186" t="e">
        <f>+$D$4-E368</f>
        <v>#VALUE!</v>
      </c>
      <c r="X368" s="99" t="e">
        <f>$D$4-V368</f>
        <v>#VALUE!</v>
      </c>
      <c r="Y368" s="99" t="s">
        <v>1317</v>
      </c>
      <c r="Z368" s="99" t="s">
        <v>168</v>
      </c>
      <c r="AA368" s="99" t="s">
        <v>169</v>
      </c>
      <c r="AB368" s="96" t="s">
        <v>2523</v>
      </c>
      <c r="AC368" s="99" t="s">
        <v>2524</v>
      </c>
      <c r="AD368" s="97">
        <v>44813</v>
      </c>
      <c r="AE368" s="183" t="s">
        <v>4262</v>
      </c>
      <c r="AF368" s="183"/>
      <c r="AG368" s="186">
        <f>+AD368-E368</f>
        <v>66</v>
      </c>
      <c r="AH368" s="187">
        <f>+AD368-V368</f>
        <v>28</v>
      </c>
      <c r="AI368" s="99" t="s">
        <v>241</v>
      </c>
      <c r="AJ368" s="96" t="s">
        <v>171</v>
      </c>
      <c r="AK368" s="99" t="s">
        <v>3719</v>
      </c>
      <c r="AL368" s="97">
        <v>44804</v>
      </c>
      <c r="AM368" s="204">
        <v>117518450</v>
      </c>
      <c r="AN368" s="96" t="s">
        <v>3720</v>
      </c>
      <c r="AO368" s="99">
        <v>202208247</v>
      </c>
      <c r="AP368" s="181">
        <f t="shared" si="155"/>
        <v>0</v>
      </c>
      <c r="AQ368" s="193"/>
      <c r="AR368" s="193"/>
      <c r="AS368" s="99"/>
      <c r="AT368" s="99"/>
      <c r="AU368" s="193"/>
      <c r="AV368" s="99" t="s">
        <v>1000</v>
      </c>
      <c r="AW368" s="99" t="s">
        <v>692</v>
      </c>
      <c r="AX368" s="96" t="s">
        <v>2511</v>
      </c>
      <c r="AY368" s="167">
        <f t="shared" si="156"/>
        <v>0</v>
      </c>
      <c r="AZ368" s="139">
        <f t="shared" si="144"/>
        <v>1</v>
      </c>
      <c r="BA368" s="139">
        <f>IF(T368="Invitación Privada",1,IF(T368="Invitación Pública",2,0))</f>
        <v>1</v>
      </c>
      <c r="BB368" s="132">
        <f>IF(AA368="CONTRATADO",IF(BA368=1,NETWORKDAYS.INTL(E368,AD368,1,[1]FESTIVOS!$B$3:$B$10)-1,AD368-E368))-BD368</f>
        <v>48</v>
      </c>
      <c r="BD368" s="207"/>
      <c r="BE368" s="208"/>
    </row>
    <row r="369" spans="2:58" ht="43.9" customHeight="1" x14ac:dyDescent="0.25">
      <c r="B369" s="100">
        <f t="shared" si="143"/>
        <v>351</v>
      </c>
      <c r="C369" s="293" t="s">
        <v>2301</v>
      </c>
      <c r="D369" s="265" t="s">
        <v>28</v>
      </c>
      <c r="E369" s="272">
        <v>44747</v>
      </c>
      <c r="F369" s="268" t="s">
        <v>4437</v>
      </c>
      <c r="G369" s="269" t="s">
        <v>2302</v>
      </c>
      <c r="H369" s="265" t="s">
        <v>2303</v>
      </c>
      <c r="I369" s="265" t="s">
        <v>146</v>
      </c>
      <c r="J369" s="269" t="s">
        <v>2304</v>
      </c>
      <c r="K369" s="342">
        <v>187037566</v>
      </c>
      <c r="L369" s="282" t="s">
        <v>3020</v>
      </c>
      <c r="M369" s="265" t="s">
        <v>2525</v>
      </c>
      <c r="N369" s="302" t="str">
        <f>MID(M369,5,3)</f>
        <v>IP-</v>
      </c>
      <c r="O369" s="265">
        <v>202202471</v>
      </c>
      <c r="P369" s="271">
        <v>187037566</v>
      </c>
      <c r="Q369" s="265" t="s">
        <v>146</v>
      </c>
      <c r="R369" s="265" t="s">
        <v>146</v>
      </c>
      <c r="S369" s="265" t="s">
        <v>146</v>
      </c>
      <c r="T369" s="111" t="s">
        <v>43</v>
      </c>
      <c r="U369" s="269" t="s">
        <v>277</v>
      </c>
      <c r="V369" s="285">
        <v>44777</v>
      </c>
      <c r="W369" s="303" t="e">
        <f>+$D$4-E369</f>
        <v>#VALUE!</v>
      </c>
      <c r="X369" s="303" t="e">
        <f>$D$4-V369</f>
        <v>#VALUE!</v>
      </c>
      <c r="Y369" s="265" t="s">
        <v>1317</v>
      </c>
      <c r="Z369" s="265" t="s">
        <v>152</v>
      </c>
      <c r="AA369" s="265" t="s">
        <v>153</v>
      </c>
      <c r="AB369" s="272">
        <v>44925</v>
      </c>
      <c r="AC369" s="304" t="s">
        <v>4321</v>
      </c>
      <c r="AD369" s="272">
        <v>44923</v>
      </c>
      <c r="AE369" s="272"/>
      <c r="AF369" s="305" t="str">
        <f>+IF(AD369="","",TEXT(AD369,"mmm"))</f>
        <v>dic</v>
      </c>
      <c r="AG369" s="306">
        <f>+AD369-E369</f>
        <v>176</v>
      </c>
      <c r="AH369" s="307">
        <f>+AD369-V369</f>
        <v>146</v>
      </c>
      <c r="AI369" s="265" t="s">
        <v>258</v>
      </c>
      <c r="AJ369" s="265" t="s">
        <v>171</v>
      </c>
      <c r="AK369" s="265" t="s">
        <v>3961</v>
      </c>
      <c r="AL369" s="272">
        <v>44819</v>
      </c>
      <c r="AM369" s="309">
        <v>185028136</v>
      </c>
      <c r="AN369" s="269" t="s">
        <v>3962</v>
      </c>
      <c r="AO369" s="265">
        <v>202208528</v>
      </c>
      <c r="AP369" s="309">
        <f t="shared" ref="AP369:AP376" si="157">+K369-AM369</f>
        <v>2009430</v>
      </c>
      <c r="AQ369" s="289"/>
      <c r="AR369" s="269" t="s">
        <v>1000</v>
      </c>
      <c r="AS369" s="265" t="s">
        <v>692</v>
      </c>
      <c r="AT369" s="260"/>
      <c r="AU369" s="260"/>
      <c r="AV369" s="200"/>
      <c r="AW369" s="200"/>
      <c r="AX369" s="200"/>
      <c r="AY369" s="200"/>
      <c r="AZ369" s="139">
        <f t="shared" si="144"/>
        <v>1</v>
      </c>
      <c r="BA369" s="200"/>
      <c r="BB369" s="203"/>
      <c r="BC369" s="95"/>
      <c r="BE369" s="2"/>
    </row>
    <row r="370" spans="2:58" ht="43.9" customHeight="1" x14ac:dyDescent="0.25">
      <c r="B370" s="100">
        <f t="shared" si="143"/>
        <v>352</v>
      </c>
      <c r="C370" s="110" t="s">
        <v>2305</v>
      </c>
      <c r="D370" s="99" t="s">
        <v>28</v>
      </c>
      <c r="E370" s="189">
        <v>44747</v>
      </c>
      <c r="F370" s="268" t="s">
        <v>4437</v>
      </c>
      <c r="G370" s="96" t="s">
        <v>2306</v>
      </c>
      <c r="H370" s="96" t="s">
        <v>2307</v>
      </c>
      <c r="I370" s="96" t="s">
        <v>146</v>
      </c>
      <c r="J370" s="96" t="s">
        <v>2308</v>
      </c>
      <c r="K370" s="344">
        <v>22999999</v>
      </c>
      <c r="L370" s="99" t="s">
        <v>3020</v>
      </c>
      <c r="M370" s="96" t="s">
        <v>3548</v>
      </c>
      <c r="N370" s="96"/>
      <c r="O370" s="99" t="s">
        <v>2309</v>
      </c>
      <c r="P370" s="190">
        <v>22999999</v>
      </c>
      <c r="Q370" s="96" t="s">
        <v>146</v>
      </c>
      <c r="R370" s="96" t="s">
        <v>146</v>
      </c>
      <c r="S370" s="99" t="s">
        <v>146</v>
      </c>
      <c r="T370" s="111" t="s">
        <v>43</v>
      </c>
      <c r="U370" s="96" t="s">
        <v>35</v>
      </c>
      <c r="V370" s="192">
        <v>44781</v>
      </c>
      <c r="W370" s="186">
        <v>126</v>
      </c>
      <c r="X370" s="99">
        <v>92</v>
      </c>
      <c r="Y370" s="99" t="s">
        <v>1317</v>
      </c>
      <c r="Z370" s="99" t="s">
        <v>168</v>
      </c>
      <c r="AA370" s="99" t="s">
        <v>169</v>
      </c>
      <c r="AB370" s="96" t="s">
        <v>3549</v>
      </c>
      <c r="AC370" s="96"/>
      <c r="AD370" s="97">
        <v>44838</v>
      </c>
      <c r="AE370" s="183" t="s">
        <v>4271</v>
      </c>
      <c r="AF370" s="186">
        <v>91</v>
      </c>
      <c r="AG370" s="186"/>
      <c r="AH370" s="187">
        <v>57</v>
      </c>
      <c r="AI370" s="99" t="s">
        <v>258</v>
      </c>
      <c r="AJ370" s="96" t="s">
        <v>171</v>
      </c>
      <c r="AK370" s="99" t="s">
        <v>3963</v>
      </c>
      <c r="AL370" s="97">
        <v>44819</v>
      </c>
      <c r="AM370" s="204">
        <v>22999999</v>
      </c>
      <c r="AN370" s="99" t="s">
        <v>3964</v>
      </c>
      <c r="AO370" s="99">
        <v>202208492</v>
      </c>
      <c r="AP370" s="181">
        <f t="shared" si="157"/>
        <v>0</v>
      </c>
      <c r="AQ370" s="99" t="s">
        <v>174</v>
      </c>
      <c r="AR370" s="99" t="s">
        <v>175</v>
      </c>
      <c r="AS370" s="203"/>
      <c r="AT370" s="200"/>
      <c r="AU370" s="200"/>
      <c r="AV370" s="260"/>
      <c r="AW370" s="260"/>
      <c r="AX370" s="260"/>
      <c r="AY370" s="167">
        <f t="shared" ref="AY370:AY376" si="158">+AP370/K370</f>
        <v>0</v>
      </c>
      <c r="AZ370" s="139">
        <f t="shared" si="144"/>
        <v>1</v>
      </c>
      <c r="BA370" s="139">
        <f t="shared" ref="BA370:BA376" si="159">IF(T370="Invitación Privada",1,IF(T370="Invitación Pública",2,0))</f>
        <v>1</v>
      </c>
      <c r="BB370" s="132">
        <f>IF(AA370="CONTRATADO",IF(BA370=1,NETWORKDAYS.INTL(E370,AD370,1,[1]FESTIVOS!$B$3:$B$10)-1,AD370-E370))-BD370</f>
        <v>65</v>
      </c>
      <c r="BD370" s="207">
        <v>0</v>
      </c>
      <c r="BE370" s="208"/>
    </row>
    <row r="371" spans="2:58" ht="43.9" customHeight="1" x14ac:dyDescent="0.25">
      <c r="B371" s="100">
        <f t="shared" si="143"/>
        <v>353</v>
      </c>
      <c r="C371" s="293" t="s">
        <v>2310</v>
      </c>
      <c r="D371" s="265" t="s">
        <v>28</v>
      </c>
      <c r="E371" s="284">
        <v>44747</v>
      </c>
      <c r="F371" s="268" t="s">
        <v>4437</v>
      </c>
      <c r="G371" s="269" t="s">
        <v>2311</v>
      </c>
      <c r="H371" s="265" t="s">
        <v>2312</v>
      </c>
      <c r="I371" s="265" t="s">
        <v>146</v>
      </c>
      <c r="J371" s="269" t="s">
        <v>2313</v>
      </c>
      <c r="K371" s="342">
        <v>6997200</v>
      </c>
      <c r="L371" s="282"/>
      <c r="M371" s="265" t="s">
        <v>2526</v>
      </c>
      <c r="N371" s="302" t="str">
        <f>MID(M371,5,3)</f>
        <v>IP-</v>
      </c>
      <c r="O371" s="265">
        <v>202202245</v>
      </c>
      <c r="P371" s="271"/>
      <c r="Q371" s="265" t="s">
        <v>146</v>
      </c>
      <c r="R371" s="265" t="s">
        <v>146</v>
      </c>
      <c r="S371" s="265" t="s">
        <v>146</v>
      </c>
      <c r="T371" s="111" t="s">
        <v>43</v>
      </c>
      <c r="U371" s="269" t="s">
        <v>2527</v>
      </c>
      <c r="V371" s="285">
        <v>44781</v>
      </c>
      <c r="W371" s="303" t="e">
        <f>+$D$4-E371</f>
        <v>#VALUE!</v>
      </c>
      <c r="X371" s="303" t="e">
        <f>$D$4-V371</f>
        <v>#VALUE!</v>
      </c>
      <c r="Y371" s="265"/>
      <c r="Z371" s="265" t="s">
        <v>168</v>
      </c>
      <c r="AA371" s="265" t="s">
        <v>169</v>
      </c>
      <c r="AB371" s="272">
        <v>44921</v>
      </c>
      <c r="AC371" s="304" t="s">
        <v>3550</v>
      </c>
      <c r="AD371" s="272">
        <v>44918</v>
      </c>
      <c r="AE371" s="272" t="s">
        <v>4264</v>
      </c>
      <c r="AF371" s="305" t="str">
        <f>+IF(AD371="","",TEXT(AD371,"mmm"))</f>
        <v>dic</v>
      </c>
      <c r="AG371" s="306">
        <f>+AD371-E371</f>
        <v>171</v>
      </c>
      <c r="AH371" s="307">
        <f>+AD371-V371</f>
        <v>137</v>
      </c>
      <c r="AI371" s="265" t="s">
        <v>258</v>
      </c>
      <c r="AJ371" s="265" t="s">
        <v>171</v>
      </c>
      <c r="AK371" s="265" t="s">
        <v>4237</v>
      </c>
      <c r="AL371" s="272">
        <v>44914</v>
      </c>
      <c r="AM371" s="309">
        <v>6997200</v>
      </c>
      <c r="AN371" s="269" t="s">
        <v>4238</v>
      </c>
      <c r="AO371" s="265" t="s">
        <v>4239</v>
      </c>
      <c r="AP371" s="181">
        <f t="shared" si="157"/>
        <v>0</v>
      </c>
      <c r="AQ371" s="289"/>
      <c r="AR371" s="269"/>
      <c r="AS371" s="265"/>
      <c r="AT371" s="277"/>
      <c r="AU371" s="277"/>
      <c r="AV371" s="277"/>
      <c r="AW371" s="277"/>
      <c r="AX371" s="260"/>
      <c r="AY371" s="167">
        <f t="shared" si="158"/>
        <v>0</v>
      </c>
      <c r="AZ371" s="139">
        <f t="shared" si="144"/>
        <v>1</v>
      </c>
      <c r="BA371" s="139">
        <f t="shared" si="159"/>
        <v>1</v>
      </c>
      <c r="BB371" s="132">
        <f>IF(AA371="CONTRATADO",IF(BA371=1,NETWORKDAYS.INTL(E371,AD371,1,[1]FESTIVOS!$B$3:$B$10)-1,AD371-E371))-BD371</f>
        <v>96</v>
      </c>
      <c r="BC371" s="3"/>
      <c r="BD371" s="3">
        <v>27</v>
      </c>
      <c r="BE371" s="95" t="s">
        <v>4229</v>
      </c>
    </row>
    <row r="372" spans="2:58" ht="43.9" customHeight="1" x14ac:dyDescent="0.25">
      <c r="B372" s="100">
        <f t="shared" si="143"/>
        <v>354</v>
      </c>
      <c r="C372" s="110" t="s">
        <v>2314</v>
      </c>
      <c r="D372" s="99" t="s">
        <v>28</v>
      </c>
      <c r="E372" s="189">
        <v>44747</v>
      </c>
      <c r="F372" s="268" t="s">
        <v>4437</v>
      </c>
      <c r="G372" s="96" t="s">
        <v>2315</v>
      </c>
      <c r="H372" s="96" t="s">
        <v>2316</v>
      </c>
      <c r="I372" s="96" t="s">
        <v>146</v>
      </c>
      <c r="J372" s="133" t="s">
        <v>2317</v>
      </c>
      <c r="K372" s="344">
        <v>24916996</v>
      </c>
      <c r="L372" s="96" t="s">
        <v>3020</v>
      </c>
      <c r="M372" s="96" t="s">
        <v>3883</v>
      </c>
      <c r="N372" s="96"/>
      <c r="O372" s="99">
        <v>202202238</v>
      </c>
      <c r="P372" s="185">
        <v>48136532</v>
      </c>
      <c r="Q372" s="96" t="s">
        <v>146</v>
      </c>
      <c r="R372" s="96" t="s">
        <v>146</v>
      </c>
      <c r="S372" s="99" t="s">
        <v>146</v>
      </c>
      <c r="T372" s="111" t="s">
        <v>43</v>
      </c>
      <c r="U372" s="96" t="s">
        <v>624</v>
      </c>
      <c r="V372" s="192">
        <v>44781</v>
      </c>
      <c r="W372" s="186" t="e">
        <f>+$D$4-E372</f>
        <v>#VALUE!</v>
      </c>
      <c r="X372" s="99" t="e">
        <f>$D$4-V372</f>
        <v>#VALUE!</v>
      </c>
      <c r="Y372" s="99" t="s">
        <v>1317</v>
      </c>
      <c r="Z372" s="99" t="s">
        <v>168</v>
      </c>
      <c r="AA372" s="99" t="s">
        <v>169</v>
      </c>
      <c r="AB372" s="96" t="s">
        <v>3183</v>
      </c>
      <c r="AC372" s="99"/>
      <c r="AD372" s="97">
        <v>44823</v>
      </c>
      <c r="AE372" s="183" t="s">
        <v>4262</v>
      </c>
      <c r="AF372" s="183"/>
      <c r="AG372" s="186">
        <f>+AD372-E372</f>
        <v>76</v>
      </c>
      <c r="AH372" s="187">
        <f>+AD372-V372</f>
        <v>42</v>
      </c>
      <c r="AI372" s="99" t="s">
        <v>258</v>
      </c>
      <c r="AJ372" s="96" t="s">
        <v>171</v>
      </c>
      <c r="AK372" s="99" t="s">
        <v>3721</v>
      </c>
      <c r="AL372" s="97">
        <v>44813</v>
      </c>
      <c r="AM372" s="204">
        <v>24916996</v>
      </c>
      <c r="AN372" s="96" t="s">
        <v>3722</v>
      </c>
      <c r="AO372" s="99"/>
      <c r="AP372" s="181">
        <f t="shared" si="157"/>
        <v>0</v>
      </c>
      <c r="AQ372" s="193"/>
      <c r="AR372" s="193"/>
      <c r="AS372" s="99"/>
      <c r="AT372" s="99"/>
      <c r="AU372" s="193"/>
      <c r="AV372" s="99" t="s">
        <v>1000</v>
      </c>
      <c r="AW372" s="99" t="s">
        <v>692</v>
      </c>
      <c r="AX372" s="96" t="s">
        <v>2477</v>
      </c>
      <c r="AY372" s="167">
        <f t="shared" si="158"/>
        <v>0</v>
      </c>
      <c r="AZ372" s="139">
        <f t="shared" si="144"/>
        <v>1</v>
      </c>
      <c r="BA372" s="139">
        <f t="shared" si="159"/>
        <v>1</v>
      </c>
      <c r="BB372" s="132">
        <f>IF(AA372="CONTRATADO",IF(BA372=1,NETWORKDAYS.INTL(E372,AD372,1,[1]FESTIVOS!$B$3:$B$10)-1,AD372-E372))-BD372</f>
        <v>54</v>
      </c>
      <c r="BD372" s="207">
        <v>0</v>
      </c>
      <c r="BE372" s="208" t="s">
        <v>2052</v>
      </c>
    </row>
    <row r="373" spans="2:58" ht="43.9" customHeight="1" x14ac:dyDescent="0.25">
      <c r="B373" s="100">
        <f t="shared" si="143"/>
        <v>355</v>
      </c>
      <c r="C373" s="110" t="s">
        <v>2318</v>
      </c>
      <c r="D373" s="99" t="s">
        <v>332</v>
      </c>
      <c r="E373" s="142">
        <v>44747</v>
      </c>
      <c r="F373" s="268" t="s">
        <v>4437</v>
      </c>
      <c r="G373" s="96" t="s">
        <v>2319</v>
      </c>
      <c r="H373" s="96" t="s">
        <v>2320</v>
      </c>
      <c r="I373" s="96" t="s">
        <v>146</v>
      </c>
      <c r="J373" s="133" t="s">
        <v>2321</v>
      </c>
      <c r="K373" s="343">
        <v>349318315</v>
      </c>
      <c r="L373" s="96" t="s">
        <v>3025</v>
      </c>
      <c r="M373" s="99" t="s">
        <v>2528</v>
      </c>
      <c r="N373" s="99"/>
      <c r="O373" s="99">
        <v>202201121</v>
      </c>
      <c r="P373" s="169"/>
      <c r="Q373" s="96" t="s">
        <v>146</v>
      </c>
      <c r="R373" s="96" t="s">
        <v>146</v>
      </c>
      <c r="S373" s="99" t="s">
        <v>146</v>
      </c>
      <c r="T373" s="111" t="s">
        <v>43</v>
      </c>
      <c r="U373" s="96" t="s">
        <v>337</v>
      </c>
      <c r="V373" s="119">
        <v>44750</v>
      </c>
      <c r="W373" s="170">
        <v>71</v>
      </c>
      <c r="X373" s="99">
        <v>68</v>
      </c>
      <c r="Y373" s="99" t="s">
        <v>1317</v>
      </c>
      <c r="Z373" s="99" t="s">
        <v>168</v>
      </c>
      <c r="AA373" s="99" t="s">
        <v>169</v>
      </c>
      <c r="AB373" s="96" t="s">
        <v>2529</v>
      </c>
      <c r="AC373" s="99"/>
      <c r="AD373" s="97">
        <v>44791</v>
      </c>
      <c r="AE373" s="183" t="s">
        <v>4438</v>
      </c>
      <c r="AF373" s="171"/>
      <c r="AG373" s="170">
        <v>44</v>
      </c>
      <c r="AH373" s="144">
        <v>41</v>
      </c>
      <c r="AI373" s="99" t="s">
        <v>258</v>
      </c>
      <c r="AJ373" s="96" t="s">
        <v>171</v>
      </c>
      <c r="AK373" s="99" t="s">
        <v>3437</v>
      </c>
      <c r="AL373" s="97">
        <v>44782</v>
      </c>
      <c r="AM373" s="204">
        <v>346933710</v>
      </c>
      <c r="AN373" s="96" t="s">
        <v>1013</v>
      </c>
      <c r="AO373" s="99">
        <v>202207726</v>
      </c>
      <c r="AP373" s="181">
        <f t="shared" si="157"/>
        <v>2384605</v>
      </c>
      <c r="AQ373" s="138"/>
      <c r="AR373" s="138"/>
      <c r="AS373" s="99"/>
      <c r="AT373" s="99"/>
      <c r="AU373" s="138"/>
      <c r="AV373" s="99" t="s">
        <v>174</v>
      </c>
      <c r="AW373" s="99" t="s">
        <v>175</v>
      </c>
      <c r="AX373" s="96" t="s">
        <v>2377</v>
      </c>
      <c r="AY373" s="167">
        <f t="shared" si="158"/>
        <v>6.8264528299926104E-3</v>
      </c>
      <c r="AZ373" s="139">
        <f t="shared" si="144"/>
        <v>0</v>
      </c>
      <c r="BA373" s="139">
        <f t="shared" si="159"/>
        <v>1</v>
      </c>
      <c r="BB373" s="132">
        <f>IF(AA373="CONTRATADO",IF(BA373=1,NETWORKDAYS.INTL(E373,AD373,1,[1]FESTIVOS!$B$3:$B$10)-1,AD373-E373))-BD373</f>
        <v>32</v>
      </c>
      <c r="BC373" s="156"/>
      <c r="BD373" s="162"/>
      <c r="BE373" s="163"/>
    </row>
    <row r="374" spans="2:58" ht="43.9" customHeight="1" x14ac:dyDescent="0.25">
      <c r="B374" s="100">
        <f t="shared" si="143"/>
        <v>356</v>
      </c>
      <c r="C374" s="110" t="s">
        <v>2530</v>
      </c>
      <c r="D374" s="99" t="s">
        <v>332</v>
      </c>
      <c r="E374" s="142">
        <v>44748</v>
      </c>
      <c r="F374" s="268" t="s">
        <v>4437</v>
      </c>
      <c r="G374" s="99" t="s">
        <v>1925</v>
      </c>
      <c r="H374" s="99" t="s">
        <v>2531</v>
      </c>
      <c r="I374" s="96" t="s">
        <v>146</v>
      </c>
      <c r="J374" s="133" t="s">
        <v>2532</v>
      </c>
      <c r="K374" s="348">
        <v>211328054</v>
      </c>
      <c r="L374" s="99" t="s">
        <v>3025</v>
      </c>
      <c r="M374" s="99" t="s">
        <v>2533</v>
      </c>
      <c r="N374" s="99"/>
      <c r="O374" s="99">
        <v>202203488</v>
      </c>
      <c r="P374" s="169"/>
      <c r="Q374" s="96" t="s">
        <v>146</v>
      </c>
      <c r="R374" s="96" t="s">
        <v>146</v>
      </c>
      <c r="S374" s="99" t="s">
        <v>146</v>
      </c>
      <c r="T374" s="111" t="s">
        <v>43</v>
      </c>
      <c r="U374" s="96" t="s">
        <v>452</v>
      </c>
      <c r="V374" s="119">
        <v>44761</v>
      </c>
      <c r="W374" s="170">
        <v>70</v>
      </c>
      <c r="X374" s="99">
        <v>57</v>
      </c>
      <c r="Y374" s="99" t="s">
        <v>1317</v>
      </c>
      <c r="Z374" s="99" t="s">
        <v>168</v>
      </c>
      <c r="AA374" s="99" t="s">
        <v>169</v>
      </c>
      <c r="AB374" s="96" t="s">
        <v>3438</v>
      </c>
      <c r="AC374" s="99"/>
      <c r="AD374" s="97">
        <v>44796</v>
      </c>
      <c r="AE374" s="183" t="s">
        <v>4438</v>
      </c>
      <c r="AF374" s="171"/>
      <c r="AG374" s="170">
        <v>48</v>
      </c>
      <c r="AH374" s="144">
        <v>35</v>
      </c>
      <c r="AI374" s="99" t="s">
        <v>258</v>
      </c>
      <c r="AJ374" s="96" t="s">
        <v>171</v>
      </c>
      <c r="AK374" s="99" t="s">
        <v>3439</v>
      </c>
      <c r="AL374" s="97">
        <v>44789</v>
      </c>
      <c r="AM374" s="204">
        <v>211328054</v>
      </c>
      <c r="AN374" s="96" t="s">
        <v>3440</v>
      </c>
      <c r="AO374" s="99">
        <v>202207862</v>
      </c>
      <c r="AP374" s="181">
        <f t="shared" si="157"/>
        <v>0</v>
      </c>
      <c r="AQ374" s="138"/>
      <c r="AR374" s="138"/>
      <c r="AS374" s="99"/>
      <c r="AT374" s="99"/>
      <c r="AU374" s="138"/>
      <c r="AV374" s="99" t="s">
        <v>174</v>
      </c>
      <c r="AW374" s="99" t="s">
        <v>175</v>
      </c>
      <c r="AX374" s="96" t="s">
        <v>2534</v>
      </c>
      <c r="AY374" s="167">
        <f t="shared" si="158"/>
        <v>0</v>
      </c>
      <c r="AZ374" s="139">
        <f t="shared" si="144"/>
        <v>0</v>
      </c>
      <c r="BA374" s="139">
        <f t="shared" si="159"/>
        <v>1</v>
      </c>
      <c r="BB374" s="132">
        <f>IF(AA374="CONTRATADO",IF(BA374=1,NETWORKDAYS.INTL(E374,AD374,1,[1]FESTIVOS!$B$3:$B$10)-1,AD374-E374))-BD374</f>
        <v>34</v>
      </c>
      <c r="BC374" s="156"/>
      <c r="BD374" s="162"/>
      <c r="BE374" s="163"/>
    </row>
    <row r="375" spans="2:58" ht="43.9" customHeight="1" x14ac:dyDescent="0.25">
      <c r="B375" s="100">
        <f t="shared" si="143"/>
        <v>357</v>
      </c>
      <c r="C375" s="110" t="s">
        <v>2535</v>
      </c>
      <c r="D375" s="99" t="s">
        <v>28</v>
      </c>
      <c r="E375" s="189">
        <v>44748</v>
      </c>
      <c r="F375" s="268" t="s">
        <v>4437</v>
      </c>
      <c r="G375" s="96" t="s">
        <v>2536</v>
      </c>
      <c r="H375" s="96" t="s">
        <v>2537</v>
      </c>
      <c r="I375" s="96" t="s">
        <v>146</v>
      </c>
      <c r="J375" s="133" t="s">
        <v>1193</v>
      </c>
      <c r="K375" s="344">
        <v>119114240</v>
      </c>
      <c r="L375" s="188" t="s">
        <v>3025</v>
      </c>
      <c r="M375" s="96" t="s">
        <v>2538</v>
      </c>
      <c r="N375" s="96"/>
      <c r="O375" s="99">
        <v>202201931</v>
      </c>
      <c r="P375" s="185">
        <v>119537500</v>
      </c>
      <c r="Q375" s="96" t="s">
        <v>146</v>
      </c>
      <c r="R375" s="96" t="s">
        <v>146</v>
      </c>
      <c r="S375" s="99" t="s">
        <v>146</v>
      </c>
      <c r="T375" s="111" t="s">
        <v>43</v>
      </c>
      <c r="U375" s="96" t="s">
        <v>1357</v>
      </c>
      <c r="V375" s="192">
        <v>44750</v>
      </c>
      <c r="W375" s="186" t="e">
        <f>+$D$4-E375</f>
        <v>#VALUE!</v>
      </c>
      <c r="X375" s="99" t="e">
        <f>$D$4-V375</f>
        <v>#VALUE!</v>
      </c>
      <c r="Y375" s="99" t="s">
        <v>1317</v>
      </c>
      <c r="Z375" s="99" t="s">
        <v>168</v>
      </c>
      <c r="AA375" s="99" t="s">
        <v>169</v>
      </c>
      <c r="AB375" s="96" t="s">
        <v>2539</v>
      </c>
      <c r="AC375" s="99"/>
      <c r="AD375" s="97">
        <v>44824</v>
      </c>
      <c r="AE375" s="183" t="s">
        <v>4262</v>
      </c>
      <c r="AF375" s="183"/>
      <c r="AG375" s="186">
        <f>+AD375-E375</f>
        <v>76</v>
      </c>
      <c r="AH375" s="187">
        <f>+AD375-V375</f>
        <v>74</v>
      </c>
      <c r="AI375" s="99" t="s">
        <v>258</v>
      </c>
      <c r="AJ375" s="96" t="s">
        <v>171</v>
      </c>
      <c r="AK375" s="99" t="s">
        <v>3723</v>
      </c>
      <c r="AL375" s="97">
        <v>44810</v>
      </c>
      <c r="AM375" s="204">
        <v>119114240</v>
      </c>
      <c r="AN375" s="96" t="s">
        <v>3724</v>
      </c>
      <c r="AO375" s="99">
        <v>202208343</v>
      </c>
      <c r="AP375" s="181">
        <f t="shared" si="157"/>
        <v>0</v>
      </c>
      <c r="AQ375" s="193"/>
      <c r="AR375" s="193"/>
      <c r="AS375" s="99"/>
      <c r="AT375" s="99"/>
      <c r="AU375" s="193"/>
      <c r="AV375" s="99" t="s">
        <v>174</v>
      </c>
      <c r="AW375" s="99" t="s">
        <v>175</v>
      </c>
      <c r="AX375" s="96" t="s">
        <v>2540</v>
      </c>
      <c r="AY375" s="167">
        <f t="shared" si="158"/>
        <v>0</v>
      </c>
      <c r="AZ375" s="139">
        <f t="shared" si="144"/>
        <v>1</v>
      </c>
      <c r="BA375" s="139">
        <f t="shared" si="159"/>
        <v>1</v>
      </c>
      <c r="BB375" s="132">
        <f>IF(AA375="CONTRATADO",IF(BA375=1,NETWORKDAYS.INTL(E375,AD375,1,[1]FESTIVOS!$B$3:$B$10)-1,AD375-E375))-BD375</f>
        <v>41</v>
      </c>
      <c r="BD375" s="207">
        <v>13</v>
      </c>
      <c r="BE375" s="208" t="s">
        <v>3909</v>
      </c>
    </row>
    <row r="376" spans="2:58" ht="43.9" customHeight="1" x14ac:dyDescent="0.25">
      <c r="B376" s="100">
        <f t="shared" si="143"/>
        <v>358</v>
      </c>
      <c r="C376" s="110" t="s">
        <v>2541</v>
      </c>
      <c r="D376" s="99" t="s">
        <v>28</v>
      </c>
      <c r="E376" s="189">
        <v>44748</v>
      </c>
      <c r="F376" s="268" t="s">
        <v>4437</v>
      </c>
      <c r="G376" s="110" t="s">
        <v>2542</v>
      </c>
      <c r="H376" s="110" t="s">
        <v>2543</v>
      </c>
      <c r="I376" s="96" t="s">
        <v>146</v>
      </c>
      <c r="J376" s="136" t="s">
        <v>2544</v>
      </c>
      <c r="K376" s="344">
        <v>22601670</v>
      </c>
      <c r="L376" s="194" t="s">
        <v>3020</v>
      </c>
      <c r="M376" s="194" t="s">
        <v>3725</v>
      </c>
      <c r="N376" s="194"/>
      <c r="O376" s="131" t="s">
        <v>2545</v>
      </c>
      <c r="P376" s="190">
        <v>22601670</v>
      </c>
      <c r="Q376" s="96" t="s">
        <v>146</v>
      </c>
      <c r="R376" s="96" t="s">
        <v>146</v>
      </c>
      <c r="S376" s="99" t="s">
        <v>146</v>
      </c>
      <c r="T376" s="111" t="s">
        <v>43</v>
      </c>
      <c r="U376" s="96" t="s">
        <v>256</v>
      </c>
      <c r="V376" s="192">
        <v>44781</v>
      </c>
      <c r="W376" s="186" t="e">
        <f>+$D$4-E376</f>
        <v>#VALUE!</v>
      </c>
      <c r="X376" s="99" t="e">
        <f>$D$4-V376</f>
        <v>#VALUE!</v>
      </c>
      <c r="Y376" s="99" t="s">
        <v>1317</v>
      </c>
      <c r="Z376" s="99" t="s">
        <v>168</v>
      </c>
      <c r="AA376" s="99" t="s">
        <v>169</v>
      </c>
      <c r="AB376" s="96"/>
      <c r="AC376" s="99"/>
      <c r="AD376" s="97">
        <v>44824</v>
      </c>
      <c r="AE376" s="183" t="s">
        <v>4262</v>
      </c>
      <c r="AF376" s="183"/>
      <c r="AG376" s="186">
        <f>+AD376-E376</f>
        <v>76</v>
      </c>
      <c r="AH376" s="187">
        <f>+AD376-V376</f>
        <v>43</v>
      </c>
      <c r="AI376" s="99" t="s">
        <v>258</v>
      </c>
      <c r="AJ376" s="96" t="s">
        <v>171</v>
      </c>
      <c r="AK376" s="99" t="s">
        <v>3726</v>
      </c>
      <c r="AL376" s="97">
        <v>44818</v>
      </c>
      <c r="AM376" s="204">
        <v>22601670</v>
      </c>
      <c r="AN376" s="96" t="s">
        <v>3727</v>
      </c>
      <c r="AO376" s="99">
        <v>202208424</v>
      </c>
      <c r="AP376" s="181">
        <f t="shared" si="157"/>
        <v>0</v>
      </c>
      <c r="AQ376" s="193"/>
      <c r="AR376" s="193"/>
      <c r="AS376" s="99"/>
      <c r="AT376" s="99"/>
      <c r="AU376" s="193"/>
      <c r="AV376" s="99" t="s">
        <v>174</v>
      </c>
      <c r="AW376" s="99" t="s">
        <v>175</v>
      </c>
      <c r="AX376" s="96" t="s">
        <v>2540</v>
      </c>
      <c r="AY376" s="167">
        <f t="shared" si="158"/>
        <v>0</v>
      </c>
      <c r="AZ376" s="139">
        <f t="shared" si="144"/>
        <v>1</v>
      </c>
      <c r="BA376" s="139">
        <f t="shared" si="159"/>
        <v>1</v>
      </c>
      <c r="BB376" s="132">
        <f>IF(AA376="CONTRATADO",IF(BA376=1,NETWORKDAYS.INTL(E376,AD376,1,[1]FESTIVOS!$B$3:$B$10)-1,AD376-E376))-BD376</f>
        <v>51</v>
      </c>
      <c r="BD376" s="207">
        <v>3</v>
      </c>
      <c r="BE376" s="208" t="s">
        <v>3886</v>
      </c>
    </row>
    <row r="377" spans="2:58" ht="43.9" customHeight="1" x14ac:dyDescent="0.25">
      <c r="B377" s="100">
        <f t="shared" si="143"/>
        <v>359</v>
      </c>
      <c r="C377" s="293" t="s">
        <v>2546</v>
      </c>
      <c r="D377" s="265" t="s">
        <v>28</v>
      </c>
      <c r="E377" s="272">
        <v>44748</v>
      </c>
      <c r="F377" s="268" t="s">
        <v>4437</v>
      </c>
      <c r="G377" s="269" t="s">
        <v>2547</v>
      </c>
      <c r="H377" s="265" t="s">
        <v>2548</v>
      </c>
      <c r="I377" s="265" t="s">
        <v>146</v>
      </c>
      <c r="J377" s="269" t="s">
        <v>2549</v>
      </c>
      <c r="K377" s="342">
        <v>445655000</v>
      </c>
      <c r="L377" s="282"/>
      <c r="M377" s="265" t="s">
        <v>2550</v>
      </c>
      <c r="N377" s="302" t="str">
        <f>MID(M377,5,3)</f>
        <v>IP-</v>
      </c>
      <c r="O377" s="265" t="s">
        <v>2551</v>
      </c>
      <c r="P377" s="271"/>
      <c r="Q377" s="265" t="s">
        <v>146</v>
      </c>
      <c r="R377" s="265" t="s">
        <v>146</v>
      </c>
      <c r="S377" s="265" t="s">
        <v>146</v>
      </c>
      <c r="T377" s="111" t="s">
        <v>43</v>
      </c>
      <c r="U377" s="269" t="s">
        <v>452</v>
      </c>
      <c r="V377" s="285">
        <v>44761</v>
      </c>
      <c r="W377" s="303" t="e">
        <f>+$D$4-E377</f>
        <v>#VALUE!</v>
      </c>
      <c r="X377" s="303" t="e">
        <f>$D$4-V377</f>
        <v>#VALUE!</v>
      </c>
      <c r="Y377" s="265" t="s">
        <v>1300</v>
      </c>
      <c r="Z377" s="265" t="s">
        <v>214</v>
      </c>
      <c r="AA377" s="265" t="s">
        <v>215</v>
      </c>
      <c r="AB377" s="265"/>
      <c r="AC377" s="304" t="s">
        <v>2552</v>
      </c>
      <c r="AD377" s="272">
        <v>44774</v>
      </c>
      <c r="AE377" s="272"/>
      <c r="AF377" s="305" t="str">
        <f>+IF(AD377="","",TEXT(AD377,"mmm"))</f>
        <v>ago</v>
      </c>
      <c r="AG377" s="306">
        <f>+AD377-E377</f>
        <v>26</v>
      </c>
      <c r="AH377" s="307">
        <f>+AD377-V377</f>
        <v>13</v>
      </c>
      <c r="AI377" s="265" t="s">
        <v>258</v>
      </c>
      <c r="AJ377" s="265" t="s">
        <v>155</v>
      </c>
      <c r="AK377" s="265"/>
      <c r="AL377" s="265"/>
      <c r="AM377" s="309"/>
      <c r="AN377" s="269"/>
      <c r="AO377" s="265"/>
      <c r="AP377" s="309"/>
      <c r="AQ377" s="289"/>
      <c r="AR377" s="269"/>
      <c r="AS377" s="265"/>
      <c r="AT377" s="260"/>
      <c r="AU377" s="260"/>
      <c r="AV377" s="200"/>
      <c r="AW377" s="200"/>
      <c r="AX377" s="200"/>
      <c r="AY377" s="200"/>
      <c r="AZ377" s="139">
        <f t="shared" si="144"/>
        <v>1</v>
      </c>
      <c r="BA377" s="200"/>
      <c r="BB377" s="203"/>
      <c r="BC377" s="95"/>
      <c r="BD377" s="2"/>
      <c r="BE377" s="2"/>
    </row>
    <row r="378" spans="2:58" ht="43.9" customHeight="1" x14ac:dyDescent="0.25">
      <c r="B378" s="100">
        <f t="shared" si="143"/>
        <v>360</v>
      </c>
      <c r="C378" s="293" t="s">
        <v>2553</v>
      </c>
      <c r="D378" s="265" t="s">
        <v>332</v>
      </c>
      <c r="E378" s="284">
        <v>44748</v>
      </c>
      <c r="F378" s="268" t="s">
        <v>4437</v>
      </c>
      <c r="G378" s="269" t="s">
        <v>2554</v>
      </c>
      <c r="H378" s="265" t="s">
        <v>2555</v>
      </c>
      <c r="I378" s="265" t="s">
        <v>146</v>
      </c>
      <c r="J378" s="267" t="s">
        <v>2556</v>
      </c>
      <c r="K378" s="342">
        <v>1155586097</v>
      </c>
      <c r="L378" s="282"/>
      <c r="M378" s="265" t="s">
        <v>2557</v>
      </c>
      <c r="N378" s="302" t="str">
        <f>MID(M378,5,3)</f>
        <v>IPU</v>
      </c>
      <c r="O378" s="293" t="s">
        <v>2558</v>
      </c>
      <c r="P378" s="271"/>
      <c r="Q378" s="265" t="s">
        <v>146</v>
      </c>
      <c r="R378" s="265" t="s">
        <v>146</v>
      </c>
      <c r="S378" s="265" t="s">
        <v>146</v>
      </c>
      <c r="T378" s="111" t="s">
        <v>40</v>
      </c>
      <c r="U378" s="269" t="s">
        <v>452</v>
      </c>
      <c r="V378" s="285">
        <v>44761</v>
      </c>
      <c r="W378" s="303" t="e">
        <f>+$D$4-E378</f>
        <v>#VALUE!</v>
      </c>
      <c r="X378" s="303" t="e">
        <f>$D$4-V378</f>
        <v>#VALUE!</v>
      </c>
      <c r="Y378" s="265"/>
      <c r="Z378" s="265" t="s">
        <v>168</v>
      </c>
      <c r="AA378" s="265" t="s">
        <v>169</v>
      </c>
      <c r="AB378" s="272">
        <v>44895</v>
      </c>
      <c r="AC378" s="304" t="s">
        <v>3551</v>
      </c>
      <c r="AD378" s="272">
        <v>44900</v>
      </c>
      <c r="AE378" s="272" t="s">
        <v>4264</v>
      </c>
      <c r="AF378" s="305" t="str">
        <f>+IF(AD378="","",TEXT(AD378,"mmm"))</f>
        <v>dic</v>
      </c>
      <c r="AG378" s="306">
        <f>+AD378-E378</f>
        <v>152</v>
      </c>
      <c r="AH378" s="307">
        <f>+AD378-V378</f>
        <v>139</v>
      </c>
      <c r="AI378" s="265" t="s">
        <v>258</v>
      </c>
      <c r="AJ378" s="265" t="s">
        <v>171</v>
      </c>
      <c r="AK378" s="265" t="s">
        <v>4240</v>
      </c>
      <c r="AL378" s="272">
        <v>44894</v>
      </c>
      <c r="AM378" s="309">
        <v>887895578</v>
      </c>
      <c r="AN378" s="269" t="s">
        <v>4241</v>
      </c>
      <c r="AO378" s="265" t="s">
        <v>4242</v>
      </c>
      <c r="AP378" s="181">
        <f t="shared" ref="AP378:AP380" si="160">+K378-AM378</f>
        <v>267690519</v>
      </c>
      <c r="AQ378" s="200"/>
      <c r="AR378" s="200"/>
      <c r="AS378" s="289"/>
      <c r="AT378" s="269"/>
      <c r="AU378" s="265"/>
      <c r="AV378" s="277"/>
      <c r="AW378" s="277"/>
      <c r="AX378" s="277"/>
      <c r="AY378" s="167">
        <f t="shared" ref="AY378:AY380" si="161">+AP378/K378</f>
        <v>0.23164913431802911</v>
      </c>
      <c r="AZ378" s="139">
        <f t="shared" si="144"/>
        <v>0</v>
      </c>
      <c r="BA378" s="139">
        <f>IF(T378="Invitación Privada",1,IF(T378="Invitación Pública",2,0))</f>
        <v>2</v>
      </c>
      <c r="BB378" s="132">
        <f>IF(AA378="CONTRATADO",IF(BA378=1,NETWORKDAYS.INTL(E378,AD378,1,[1]FESTIVOS!$B$3:$B$10)-1,AD378-E378))-BD378</f>
        <v>152</v>
      </c>
      <c r="BC378" s="311"/>
      <c r="BD378" s="336"/>
      <c r="BE378" s="208"/>
      <c r="BF378" s="76"/>
    </row>
    <row r="379" spans="2:58" ht="43.9" customHeight="1" x14ac:dyDescent="0.25">
      <c r="B379" s="100">
        <f t="shared" si="143"/>
        <v>361</v>
      </c>
      <c r="C379" s="110" t="s">
        <v>2559</v>
      </c>
      <c r="D379" s="99" t="s">
        <v>28</v>
      </c>
      <c r="E379" s="189">
        <v>44749</v>
      </c>
      <c r="F379" s="268" t="s">
        <v>4437</v>
      </c>
      <c r="G379" s="110" t="s">
        <v>1543</v>
      </c>
      <c r="H379" s="110" t="s">
        <v>1544</v>
      </c>
      <c r="I379" s="96" t="s">
        <v>146</v>
      </c>
      <c r="J379" s="110" t="s">
        <v>2560</v>
      </c>
      <c r="K379" s="344">
        <v>880000000</v>
      </c>
      <c r="L379" s="194"/>
      <c r="M379" s="99" t="s">
        <v>2561</v>
      </c>
      <c r="N379" s="99"/>
      <c r="O379" s="131" t="s">
        <v>2562</v>
      </c>
      <c r="P379" s="185"/>
      <c r="Q379" s="96" t="s">
        <v>146</v>
      </c>
      <c r="R379" s="96" t="s">
        <v>146</v>
      </c>
      <c r="S379" s="99" t="s">
        <v>146</v>
      </c>
      <c r="T379" s="111" t="s">
        <v>43</v>
      </c>
      <c r="U379" s="96" t="s">
        <v>312</v>
      </c>
      <c r="V379" s="192">
        <v>44776</v>
      </c>
      <c r="W379" s="186" t="e">
        <f>+$D$4-E379</f>
        <v>#VALUE!</v>
      </c>
      <c r="X379" s="99" t="e">
        <f>$D$4-V379</f>
        <v>#VALUE!</v>
      </c>
      <c r="Y379" s="99"/>
      <c r="Z379" s="99" t="s">
        <v>1327</v>
      </c>
      <c r="AA379" s="99" t="s">
        <v>169</v>
      </c>
      <c r="AB379" s="96" t="s">
        <v>3552</v>
      </c>
      <c r="AC379" s="99"/>
      <c r="AD379" s="97">
        <v>44806</v>
      </c>
      <c r="AE379" s="183" t="s">
        <v>4271</v>
      </c>
      <c r="AF379" s="183"/>
      <c r="AG379" s="186">
        <f>+AD379-E379</f>
        <v>57</v>
      </c>
      <c r="AH379" s="187">
        <f>+AD379-V379</f>
        <v>30</v>
      </c>
      <c r="AI379" s="99" t="s">
        <v>2388</v>
      </c>
      <c r="AJ379" s="96" t="s">
        <v>171</v>
      </c>
      <c r="AK379" s="99" t="s">
        <v>3912</v>
      </c>
      <c r="AL379" s="97">
        <v>44818</v>
      </c>
      <c r="AM379" s="204">
        <v>879780000</v>
      </c>
      <c r="AN379" s="96" t="s">
        <v>3913</v>
      </c>
      <c r="AO379" s="99"/>
      <c r="AP379" s="181">
        <f t="shared" si="160"/>
        <v>220000</v>
      </c>
      <c r="AQ379" s="193"/>
      <c r="AR379" s="193"/>
      <c r="AS379" s="99"/>
      <c r="AT379" s="99"/>
      <c r="AU379" s="193"/>
      <c r="AV379" s="99"/>
      <c r="AW379" s="99"/>
      <c r="AX379" s="96" t="s">
        <v>2540</v>
      </c>
      <c r="AY379" s="167">
        <f t="shared" si="161"/>
        <v>2.5000000000000001E-4</v>
      </c>
      <c r="AZ379" s="139">
        <f t="shared" si="144"/>
        <v>1</v>
      </c>
      <c r="BA379" s="139">
        <f>IF(T379="Invitación Privada",1,IF(T379="Invitación Pública",2,0))</f>
        <v>1</v>
      </c>
      <c r="BB379" s="132">
        <f>IF(AA379="CONTRATADO",IF(BA379=1,NETWORKDAYS.INTL(E379,AD379,1,[1]FESTIVOS!$B$3:$B$10)-1,AD379-E379))-BD379</f>
        <v>41</v>
      </c>
      <c r="BD379" s="207">
        <v>0</v>
      </c>
      <c r="BE379" s="208"/>
    </row>
    <row r="380" spans="2:58" ht="43.9" customHeight="1" x14ac:dyDescent="0.25">
      <c r="B380" s="100">
        <f t="shared" si="143"/>
        <v>362</v>
      </c>
      <c r="C380" s="110" t="s">
        <v>3052</v>
      </c>
      <c r="D380" s="99" t="s">
        <v>332</v>
      </c>
      <c r="E380" s="142">
        <v>44749</v>
      </c>
      <c r="F380" s="268" t="s">
        <v>4437</v>
      </c>
      <c r="G380" s="96" t="s">
        <v>3053</v>
      </c>
      <c r="H380" s="96" t="s">
        <v>3054</v>
      </c>
      <c r="I380" s="96" t="s">
        <v>146</v>
      </c>
      <c r="J380" s="133" t="s">
        <v>3055</v>
      </c>
      <c r="K380" s="343">
        <v>420000000</v>
      </c>
      <c r="L380" s="99"/>
      <c r="M380" s="99" t="s">
        <v>146</v>
      </c>
      <c r="N380" s="99"/>
      <c r="O380" s="99">
        <v>202204127</v>
      </c>
      <c r="P380" s="169"/>
      <c r="Q380" s="96" t="s">
        <v>146</v>
      </c>
      <c r="R380" s="96" t="s">
        <v>146</v>
      </c>
      <c r="S380" s="99" t="s">
        <v>146</v>
      </c>
      <c r="T380" s="96" t="s">
        <v>230</v>
      </c>
      <c r="U380" s="96" t="s">
        <v>35</v>
      </c>
      <c r="V380" s="119">
        <v>44750</v>
      </c>
      <c r="W380" s="170">
        <v>69</v>
      </c>
      <c r="X380" s="99">
        <v>68</v>
      </c>
      <c r="Y380" s="99" t="s">
        <v>1317</v>
      </c>
      <c r="Z380" s="99" t="s">
        <v>168</v>
      </c>
      <c r="AA380" s="99" t="s">
        <v>169</v>
      </c>
      <c r="AB380" s="96" t="s">
        <v>3056</v>
      </c>
      <c r="AC380" s="99"/>
      <c r="AD380" s="97">
        <v>44784</v>
      </c>
      <c r="AE380" s="183" t="s">
        <v>4438</v>
      </c>
      <c r="AF380" s="171"/>
      <c r="AG380" s="170">
        <v>35</v>
      </c>
      <c r="AH380" s="144">
        <v>34</v>
      </c>
      <c r="AI380" s="99" t="s">
        <v>146</v>
      </c>
      <c r="AJ380" s="96" t="s">
        <v>171</v>
      </c>
      <c r="AK380" s="96" t="s">
        <v>3441</v>
      </c>
      <c r="AL380" s="97">
        <v>44777</v>
      </c>
      <c r="AM380" s="204">
        <v>398896579</v>
      </c>
      <c r="AN380" s="96" t="s">
        <v>1029</v>
      </c>
      <c r="AO380" s="99">
        <v>202207674</v>
      </c>
      <c r="AP380" s="181">
        <f t="shared" si="160"/>
        <v>21103421</v>
      </c>
      <c r="AQ380" s="138"/>
      <c r="AR380" s="138"/>
      <c r="AS380" s="99"/>
      <c r="AT380" s="99"/>
      <c r="AU380" s="138"/>
      <c r="AV380" s="99"/>
      <c r="AW380" s="99"/>
      <c r="AX380" s="96" t="s">
        <v>2534</v>
      </c>
      <c r="AY380" s="167">
        <f t="shared" si="161"/>
        <v>5.0246240476190474E-2</v>
      </c>
      <c r="AZ380" s="139">
        <f t="shared" si="144"/>
        <v>0</v>
      </c>
      <c r="BA380" s="139">
        <f>IF(T380="Invitación Privada",1,IF(T380="Invitación Pública",2,0))</f>
        <v>0</v>
      </c>
      <c r="BB380" s="132">
        <f>IF(AA380="CONTRATADO",IF(BA380=1,NETWORKDAYS.INTL(E380,AD380,1,[1]FESTIVOS!$B$3:$B$10)-1,AD380-E380))-BD380</f>
        <v>35</v>
      </c>
      <c r="BC380" s="156"/>
      <c r="BD380" s="158"/>
      <c r="BE380" s="159"/>
    </row>
    <row r="381" spans="2:58" ht="43.9" customHeight="1" x14ac:dyDescent="0.25">
      <c r="B381" s="100">
        <f t="shared" si="143"/>
        <v>363</v>
      </c>
      <c r="C381" s="293" t="s">
        <v>2563</v>
      </c>
      <c r="D381" s="265" t="s">
        <v>332</v>
      </c>
      <c r="E381" s="272">
        <v>44750</v>
      </c>
      <c r="F381" s="268" t="s">
        <v>4437</v>
      </c>
      <c r="G381" s="269" t="s">
        <v>2564</v>
      </c>
      <c r="H381" s="265" t="s">
        <v>1385</v>
      </c>
      <c r="I381" s="265" t="s">
        <v>146</v>
      </c>
      <c r="J381" s="269" t="s">
        <v>1386</v>
      </c>
      <c r="K381" s="342">
        <v>52771303</v>
      </c>
      <c r="L381" s="282"/>
      <c r="M381" s="265" t="s">
        <v>2565</v>
      </c>
      <c r="N381" s="302" t="str">
        <f>MID(M381,5,3)</f>
        <v>IP-</v>
      </c>
      <c r="O381" s="265">
        <v>202201835</v>
      </c>
      <c r="P381" s="271"/>
      <c r="Q381" s="265" t="s">
        <v>146</v>
      </c>
      <c r="R381" s="265" t="s">
        <v>146</v>
      </c>
      <c r="S381" s="265" t="s">
        <v>146</v>
      </c>
      <c r="T381" s="111" t="s">
        <v>43</v>
      </c>
      <c r="U381" s="269" t="s">
        <v>503</v>
      </c>
      <c r="V381" s="285">
        <v>44754</v>
      </c>
      <c r="W381" s="303" t="e">
        <f>+$D$4-E381</f>
        <v>#VALUE!</v>
      </c>
      <c r="X381" s="303" t="e">
        <f>$D$4-V381</f>
        <v>#VALUE!</v>
      </c>
      <c r="Y381" s="265" t="s">
        <v>1300</v>
      </c>
      <c r="Z381" s="265" t="s">
        <v>214</v>
      </c>
      <c r="AA381" s="265" t="s">
        <v>215</v>
      </c>
      <c r="AB381" s="265"/>
      <c r="AC381" s="304" t="s">
        <v>2566</v>
      </c>
      <c r="AD381" s="272">
        <v>44784</v>
      </c>
      <c r="AE381" s="265"/>
      <c r="AF381" s="305" t="str">
        <f>+IF(AD381="","",TEXT(AD381,"mmm"))</f>
        <v>ago</v>
      </c>
      <c r="AG381" s="306">
        <f t="shared" ref="AG381:AG386" si="162">+AD381-E381</f>
        <v>34</v>
      </c>
      <c r="AH381" s="307">
        <f t="shared" ref="AH381:AH386" si="163">+AD381-V381</f>
        <v>30</v>
      </c>
      <c r="AI381" s="265"/>
      <c r="AJ381" s="265" t="s">
        <v>171</v>
      </c>
      <c r="AK381" s="265"/>
      <c r="AL381" s="265"/>
      <c r="AM381" s="309"/>
      <c r="AN381" s="269"/>
      <c r="AO381" s="265"/>
      <c r="AP381" s="309"/>
      <c r="AQ381" s="289"/>
      <c r="AR381" s="269"/>
      <c r="AS381" s="265"/>
      <c r="AT381" s="260"/>
      <c r="AU381" s="260"/>
      <c r="AV381" s="200"/>
      <c r="AW381" s="200"/>
      <c r="AX381" s="200"/>
      <c r="AY381" s="200"/>
      <c r="AZ381" s="139">
        <f t="shared" si="144"/>
        <v>0</v>
      </c>
      <c r="BA381" s="200"/>
      <c r="BB381" s="203"/>
      <c r="BC381" s="95"/>
      <c r="BD381" s="2"/>
      <c r="BE381" s="2"/>
    </row>
    <row r="382" spans="2:58" ht="43.9" customHeight="1" x14ac:dyDescent="0.25">
      <c r="B382" s="100">
        <f t="shared" si="143"/>
        <v>364</v>
      </c>
      <c r="C382" s="293" t="s">
        <v>2567</v>
      </c>
      <c r="D382" s="265" t="s">
        <v>1559</v>
      </c>
      <c r="E382" s="272">
        <v>44750</v>
      </c>
      <c r="F382" s="268" t="s">
        <v>4437</v>
      </c>
      <c r="G382" s="269" t="s">
        <v>2568</v>
      </c>
      <c r="H382" s="265" t="s">
        <v>2569</v>
      </c>
      <c r="I382" s="265" t="s">
        <v>146</v>
      </c>
      <c r="J382" s="269" t="s">
        <v>2570</v>
      </c>
      <c r="K382" s="342">
        <v>224621449</v>
      </c>
      <c r="L382" s="282"/>
      <c r="M382" s="265" t="s">
        <v>2571</v>
      </c>
      <c r="N382" s="302" t="str">
        <f>MID(M382,5,3)</f>
        <v>IP-</v>
      </c>
      <c r="O382" s="265" t="s">
        <v>2572</v>
      </c>
      <c r="P382" s="271"/>
      <c r="Q382" s="265" t="s">
        <v>146</v>
      </c>
      <c r="R382" s="265" t="s">
        <v>146</v>
      </c>
      <c r="S382" s="265" t="s">
        <v>146</v>
      </c>
      <c r="T382" s="111" t="s">
        <v>43</v>
      </c>
      <c r="U382" s="269" t="s">
        <v>503</v>
      </c>
      <c r="V382" s="285">
        <v>44754</v>
      </c>
      <c r="W382" s="303" t="e">
        <f>+$D$4-E382</f>
        <v>#VALUE!</v>
      </c>
      <c r="X382" s="303" t="e">
        <f>$D$4-V382</f>
        <v>#VALUE!</v>
      </c>
      <c r="Y382" s="265" t="s">
        <v>1300</v>
      </c>
      <c r="Z382" s="265" t="s">
        <v>214</v>
      </c>
      <c r="AA382" s="265" t="s">
        <v>215</v>
      </c>
      <c r="AB382" s="272">
        <v>44877</v>
      </c>
      <c r="AC382" s="304" t="s">
        <v>4024</v>
      </c>
      <c r="AD382" s="272">
        <v>44873</v>
      </c>
      <c r="AE382" s="265"/>
      <c r="AF382" s="305" t="str">
        <f>+IF(AD382="","",TEXT(AD382,"mmm"))</f>
        <v>nov</v>
      </c>
      <c r="AG382" s="306">
        <f t="shared" si="162"/>
        <v>123</v>
      </c>
      <c r="AH382" s="307">
        <f t="shared" si="163"/>
        <v>119</v>
      </c>
      <c r="AI382" s="265"/>
      <c r="AJ382" s="265" t="s">
        <v>171</v>
      </c>
      <c r="AK382" s="265"/>
      <c r="AL382" s="265"/>
      <c r="AM382" s="309"/>
      <c r="AN382" s="269"/>
      <c r="AO382" s="265"/>
      <c r="AP382" s="309"/>
      <c r="AQ382" s="289"/>
      <c r="AR382" s="269"/>
      <c r="AS382" s="265"/>
      <c r="AT382" s="260"/>
      <c r="AU382" s="260"/>
      <c r="AV382" s="200"/>
      <c r="AW382" s="200"/>
      <c r="AX382" s="200"/>
      <c r="AY382" s="200"/>
      <c r="AZ382" s="139">
        <f t="shared" si="144"/>
        <v>0</v>
      </c>
      <c r="BA382" s="200"/>
      <c r="BB382" s="203"/>
      <c r="BC382" s="95"/>
      <c r="BD382" s="2"/>
      <c r="BE382" s="2"/>
    </row>
    <row r="383" spans="2:58" ht="43.9" customHeight="1" x14ac:dyDescent="0.25">
      <c r="B383" s="100">
        <f t="shared" si="143"/>
        <v>365</v>
      </c>
      <c r="C383" s="110" t="s">
        <v>2573</v>
      </c>
      <c r="D383" s="99" t="s">
        <v>33</v>
      </c>
      <c r="E383" s="189">
        <v>44750</v>
      </c>
      <c r="F383" s="268" t="s">
        <v>4437</v>
      </c>
      <c r="G383" s="96" t="s">
        <v>2574</v>
      </c>
      <c r="H383" s="96" t="s">
        <v>2575</v>
      </c>
      <c r="I383" s="96" t="s">
        <v>146</v>
      </c>
      <c r="J383" s="96" t="s">
        <v>2576</v>
      </c>
      <c r="K383" s="344">
        <v>496515600</v>
      </c>
      <c r="L383" s="194" t="s">
        <v>3427</v>
      </c>
      <c r="M383" s="99" t="s">
        <v>3986</v>
      </c>
      <c r="N383" s="99"/>
      <c r="O383" s="99">
        <v>202203853</v>
      </c>
      <c r="P383" s="185">
        <v>500000000</v>
      </c>
      <c r="Q383" s="96" t="s">
        <v>146</v>
      </c>
      <c r="R383" s="96" t="s">
        <v>146</v>
      </c>
      <c r="S383" s="99" t="s">
        <v>146</v>
      </c>
      <c r="T383" s="111" t="s">
        <v>43</v>
      </c>
      <c r="U383" s="96" t="s">
        <v>452</v>
      </c>
      <c r="V383" s="192">
        <v>44764</v>
      </c>
      <c r="W383" s="186" t="e">
        <f>+$D$4-E383</f>
        <v>#VALUE!</v>
      </c>
      <c r="X383" s="99" t="e">
        <f>$D$4-V383</f>
        <v>#VALUE!</v>
      </c>
      <c r="Y383" s="99" t="s">
        <v>1317</v>
      </c>
      <c r="Z383" s="99" t="s">
        <v>168</v>
      </c>
      <c r="AA383" s="99" t="s">
        <v>169</v>
      </c>
      <c r="AB383" s="96" t="s">
        <v>2577</v>
      </c>
      <c r="AC383" s="99"/>
      <c r="AD383" s="97">
        <v>44826</v>
      </c>
      <c r="AE383" s="183" t="s">
        <v>4262</v>
      </c>
      <c r="AF383" s="183"/>
      <c r="AG383" s="186">
        <f t="shared" si="162"/>
        <v>76</v>
      </c>
      <c r="AH383" s="187">
        <f t="shared" si="163"/>
        <v>62</v>
      </c>
      <c r="AI383" s="99" t="s">
        <v>241</v>
      </c>
      <c r="AJ383" s="96" t="s">
        <v>155</v>
      </c>
      <c r="AK383" s="99" t="s">
        <v>3728</v>
      </c>
      <c r="AL383" s="97">
        <v>44819</v>
      </c>
      <c r="AM383" s="204">
        <v>496372800</v>
      </c>
      <c r="AN383" s="96" t="s">
        <v>3729</v>
      </c>
      <c r="AO383" s="99">
        <v>202208535</v>
      </c>
      <c r="AP383" s="181">
        <f t="shared" ref="AP383:AP394" si="164">+K383-AM383</f>
        <v>142800</v>
      </c>
      <c r="AQ383" s="193"/>
      <c r="AR383" s="193"/>
      <c r="AS383" s="99"/>
      <c r="AT383" s="99"/>
      <c r="AU383" s="193"/>
      <c r="AV383" s="99" t="s">
        <v>1000</v>
      </c>
      <c r="AW383" s="99" t="s">
        <v>692</v>
      </c>
      <c r="AX383" s="96" t="s">
        <v>2394</v>
      </c>
      <c r="AY383" s="167">
        <f t="shared" ref="AY383:AY394" si="165">+AP383/K383</f>
        <v>2.8760425654299681E-4</v>
      </c>
      <c r="AZ383" s="139">
        <f t="shared" si="144"/>
        <v>1</v>
      </c>
      <c r="BA383" s="139">
        <f t="shared" ref="BA383:BA394" si="166">IF(T383="Invitación Privada",1,IF(T383="Invitación Pública",2,0))</f>
        <v>1</v>
      </c>
      <c r="BB383" s="132">
        <f>IF(AA383="CONTRATADO",IF(BA383=1,NETWORKDAYS.INTL(E383,AD383,1,[1]FESTIVOS!$B$3:$B$10)-1,AD383-E383))-BD383</f>
        <v>54</v>
      </c>
    </row>
    <row r="384" spans="2:58" ht="43.9" customHeight="1" x14ac:dyDescent="0.25">
      <c r="B384" s="100">
        <f t="shared" si="143"/>
        <v>366</v>
      </c>
      <c r="C384" s="110" t="s">
        <v>3142</v>
      </c>
      <c r="D384" s="99" t="s">
        <v>32</v>
      </c>
      <c r="E384" s="142">
        <v>44753</v>
      </c>
      <c r="F384" s="268" t="s">
        <v>4437</v>
      </c>
      <c r="G384" s="143" t="s">
        <v>3143</v>
      </c>
      <c r="H384" s="96" t="s">
        <v>1428</v>
      </c>
      <c r="I384" s="96" t="s">
        <v>146</v>
      </c>
      <c r="J384" s="133" t="s">
        <v>1429</v>
      </c>
      <c r="K384" s="343">
        <v>535500000</v>
      </c>
      <c r="L384" s="99" t="s">
        <v>3062</v>
      </c>
      <c r="M384" s="99" t="s">
        <v>3144</v>
      </c>
      <c r="N384" s="99"/>
      <c r="O384" s="99">
        <v>202203018</v>
      </c>
      <c r="P384" s="169">
        <v>535500000</v>
      </c>
      <c r="Q384" s="96" t="s">
        <v>146</v>
      </c>
      <c r="R384" s="96" t="s">
        <v>146</v>
      </c>
      <c r="S384" s="99" t="s">
        <v>146</v>
      </c>
      <c r="T384" s="111" t="s">
        <v>43</v>
      </c>
      <c r="U384" s="96" t="s">
        <v>503</v>
      </c>
      <c r="V384" s="119">
        <v>44753</v>
      </c>
      <c r="W384" s="170">
        <f>+$D$2-E384</f>
        <v>-44753</v>
      </c>
      <c r="X384" s="99">
        <f>$D$2-V384</f>
        <v>-44753</v>
      </c>
      <c r="Y384" s="99" t="s">
        <v>1317</v>
      </c>
      <c r="Z384" s="96" t="s">
        <v>168</v>
      </c>
      <c r="AA384" s="99" t="s">
        <v>169</v>
      </c>
      <c r="AB384" s="96"/>
      <c r="AC384" s="99"/>
      <c r="AD384" s="119">
        <v>44768</v>
      </c>
      <c r="AE384" s="183" t="s">
        <v>4437</v>
      </c>
      <c r="AF384" s="99"/>
      <c r="AG384" s="170">
        <f t="shared" si="162"/>
        <v>15</v>
      </c>
      <c r="AH384" s="144">
        <f t="shared" si="163"/>
        <v>15</v>
      </c>
      <c r="AI384" s="99" t="s">
        <v>258</v>
      </c>
      <c r="AJ384" s="96" t="s">
        <v>171</v>
      </c>
      <c r="AK384" s="99" t="s">
        <v>3145</v>
      </c>
      <c r="AL384" s="97">
        <v>44761</v>
      </c>
      <c r="AM384" s="204">
        <v>474686280</v>
      </c>
      <c r="AN384" s="96" t="s">
        <v>3146</v>
      </c>
      <c r="AO384" s="99"/>
      <c r="AP384" s="181">
        <f t="shared" si="164"/>
        <v>60813720</v>
      </c>
      <c r="AQ384" s="138"/>
      <c r="AR384" s="138"/>
      <c r="AS384" s="99"/>
      <c r="AT384" s="99"/>
      <c r="AU384" s="138"/>
      <c r="AV384" s="96"/>
      <c r="AW384" s="99"/>
      <c r="AX384" s="96" t="s">
        <v>2379</v>
      </c>
      <c r="AY384" s="167">
        <f t="shared" si="165"/>
        <v>0.11356436974789916</v>
      </c>
      <c r="AZ384" s="139">
        <f t="shared" si="144"/>
        <v>1</v>
      </c>
      <c r="BA384" s="139">
        <f t="shared" si="166"/>
        <v>1</v>
      </c>
      <c r="BB384" s="132">
        <f>IF(AA384="CONTRATADO",IF(BA384=1,NETWORKDAYS.INTL(E384,AD384,1,[1]FESTIVOS!$B$3:$B$10)-1,AD384-E384))-BD384</f>
        <v>11</v>
      </c>
      <c r="BC384" s="156"/>
      <c r="BD384" s="158"/>
      <c r="BE384" s="159"/>
    </row>
    <row r="385" spans="2:57" ht="43.9" customHeight="1" x14ac:dyDescent="0.25">
      <c r="B385" s="100">
        <f t="shared" si="143"/>
        <v>367</v>
      </c>
      <c r="C385" s="110" t="s">
        <v>2578</v>
      </c>
      <c r="D385" s="99" t="s">
        <v>33</v>
      </c>
      <c r="E385" s="189">
        <v>44754</v>
      </c>
      <c r="F385" s="268" t="s">
        <v>4437</v>
      </c>
      <c r="G385" s="96" t="s">
        <v>2579</v>
      </c>
      <c r="H385" s="96" t="s">
        <v>2580</v>
      </c>
      <c r="I385" s="96" t="s">
        <v>146</v>
      </c>
      <c r="J385" s="133" t="s">
        <v>2581</v>
      </c>
      <c r="K385" s="344">
        <v>240328116</v>
      </c>
      <c r="L385" s="197" t="s">
        <v>3730</v>
      </c>
      <c r="M385" s="99" t="s">
        <v>2582</v>
      </c>
      <c r="N385" s="99"/>
      <c r="O385" s="99">
        <v>202202447</v>
      </c>
      <c r="P385" s="185"/>
      <c r="Q385" s="96" t="s">
        <v>146</v>
      </c>
      <c r="R385" s="96" t="s">
        <v>146</v>
      </c>
      <c r="S385" s="99" t="s">
        <v>146</v>
      </c>
      <c r="T385" s="111" t="s">
        <v>43</v>
      </c>
      <c r="U385" s="96" t="s">
        <v>1904</v>
      </c>
      <c r="V385" s="192">
        <v>44761</v>
      </c>
      <c r="W385" s="186" t="e">
        <f>+$D$4-E385</f>
        <v>#VALUE!</v>
      </c>
      <c r="X385" s="99" t="e">
        <f>$D$4-V385</f>
        <v>#VALUE!</v>
      </c>
      <c r="Y385" s="99" t="s">
        <v>1317</v>
      </c>
      <c r="Z385" s="99" t="s">
        <v>168</v>
      </c>
      <c r="AA385" s="99" t="s">
        <v>169</v>
      </c>
      <c r="AB385" s="96" t="s">
        <v>2583</v>
      </c>
      <c r="AC385" s="99" t="s">
        <v>2584</v>
      </c>
      <c r="AD385" s="97">
        <v>44817</v>
      </c>
      <c r="AE385" s="183" t="s">
        <v>4262</v>
      </c>
      <c r="AF385" s="183"/>
      <c r="AG385" s="186">
        <f t="shared" si="162"/>
        <v>63</v>
      </c>
      <c r="AH385" s="187">
        <f t="shared" si="163"/>
        <v>56</v>
      </c>
      <c r="AI385" s="99" t="s">
        <v>258</v>
      </c>
      <c r="AJ385" s="96" t="s">
        <v>171</v>
      </c>
      <c r="AK385" s="99" t="s">
        <v>3731</v>
      </c>
      <c r="AL385" s="97">
        <v>44809</v>
      </c>
      <c r="AM385" s="204">
        <v>239138116</v>
      </c>
      <c r="AN385" s="96" t="s">
        <v>3732</v>
      </c>
      <c r="AO385" s="99">
        <v>202208345</v>
      </c>
      <c r="AP385" s="181">
        <f t="shared" si="164"/>
        <v>1190000</v>
      </c>
      <c r="AQ385" s="193"/>
      <c r="AR385" s="193"/>
      <c r="AS385" s="99"/>
      <c r="AT385" s="99"/>
      <c r="AU385" s="193"/>
      <c r="AV385" s="99" t="s">
        <v>1000</v>
      </c>
      <c r="AW385" s="99" t="s">
        <v>692</v>
      </c>
      <c r="AX385" s="96" t="s">
        <v>2485</v>
      </c>
      <c r="AY385" s="167">
        <f t="shared" si="165"/>
        <v>4.9515638028802258E-3</v>
      </c>
      <c r="AZ385" s="139">
        <f t="shared" si="144"/>
        <v>1</v>
      </c>
      <c r="BA385" s="139">
        <f t="shared" si="166"/>
        <v>1</v>
      </c>
      <c r="BB385" s="132">
        <f>IF(AA385="CONTRATADO",IF(BA385=1,NETWORKDAYS.INTL(E385,AD385,1,[1]FESTIVOS!$B$3:$B$10)-1,AD385-E385))-BD385</f>
        <v>45</v>
      </c>
    </row>
    <row r="386" spans="2:57" ht="43.9" customHeight="1" x14ac:dyDescent="0.25">
      <c r="B386" s="100">
        <f t="shared" si="143"/>
        <v>368</v>
      </c>
      <c r="C386" s="110" t="s">
        <v>2585</v>
      </c>
      <c r="D386" s="99" t="s">
        <v>28</v>
      </c>
      <c r="E386" s="189">
        <v>44754</v>
      </c>
      <c r="F386" s="268" t="s">
        <v>4437</v>
      </c>
      <c r="G386" s="96" t="s">
        <v>2586</v>
      </c>
      <c r="H386" s="96" t="s">
        <v>2587</v>
      </c>
      <c r="I386" s="96" t="s">
        <v>146</v>
      </c>
      <c r="J386" s="96" t="s">
        <v>2588</v>
      </c>
      <c r="K386" s="344">
        <v>49623000</v>
      </c>
      <c r="L386" s="194" t="s">
        <v>3030</v>
      </c>
      <c r="M386" s="96" t="s">
        <v>2589</v>
      </c>
      <c r="N386" s="96"/>
      <c r="O386" s="99">
        <v>202204421</v>
      </c>
      <c r="P386" s="185"/>
      <c r="Q386" s="96" t="s">
        <v>146</v>
      </c>
      <c r="R386" s="96" t="s">
        <v>146</v>
      </c>
      <c r="S386" s="99" t="s">
        <v>146</v>
      </c>
      <c r="T386" s="111" t="s">
        <v>43</v>
      </c>
      <c r="U386" s="96" t="s">
        <v>1357</v>
      </c>
      <c r="V386" s="192">
        <v>44761</v>
      </c>
      <c r="W386" s="186" t="e">
        <f>+$D$4-E386</f>
        <v>#VALUE!</v>
      </c>
      <c r="X386" s="99" t="e">
        <f>$D$4-V386</f>
        <v>#VALUE!</v>
      </c>
      <c r="Y386" s="99" t="s">
        <v>1317</v>
      </c>
      <c r="Z386" s="99" t="s">
        <v>168</v>
      </c>
      <c r="AA386" s="99" t="s">
        <v>169</v>
      </c>
      <c r="AB386" s="96" t="s">
        <v>3733</v>
      </c>
      <c r="AC386" s="99" t="s">
        <v>2590</v>
      </c>
      <c r="AD386" s="97">
        <v>44833</v>
      </c>
      <c r="AE386" s="183" t="s">
        <v>4262</v>
      </c>
      <c r="AF386" s="183"/>
      <c r="AG386" s="186">
        <f t="shared" si="162"/>
        <v>79</v>
      </c>
      <c r="AH386" s="187">
        <f t="shared" si="163"/>
        <v>72</v>
      </c>
      <c r="AI386" s="99" t="s">
        <v>258</v>
      </c>
      <c r="AJ386" s="96" t="s">
        <v>155</v>
      </c>
      <c r="AK386" s="99" t="s">
        <v>3734</v>
      </c>
      <c r="AL386" s="97">
        <v>44819</v>
      </c>
      <c r="AM386" s="204">
        <v>49623000</v>
      </c>
      <c r="AN386" s="96" t="s">
        <v>3735</v>
      </c>
      <c r="AO386" s="99">
        <v>202208532</v>
      </c>
      <c r="AP386" s="181">
        <f t="shared" si="164"/>
        <v>0</v>
      </c>
      <c r="AQ386" s="193"/>
      <c r="AR386" s="193"/>
      <c r="AS386" s="99"/>
      <c r="AT386" s="99"/>
      <c r="AU386" s="193"/>
      <c r="AV386" s="99"/>
      <c r="AW386" s="99"/>
      <c r="AX386" s="96" t="s">
        <v>2379</v>
      </c>
      <c r="AY386" s="167">
        <f t="shared" si="165"/>
        <v>0</v>
      </c>
      <c r="AZ386" s="139">
        <f t="shared" si="144"/>
        <v>1</v>
      </c>
      <c r="BA386" s="139">
        <f t="shared" si="166"/>
        <v>1</v>
      </c>
      <c r="BB386" s="132">
        <f>IF(AA386="CONTRATADO",IF(BA386=1,NETWORKDAYS.INTL(E386,AD386,1,[1]FESTIVOS!$B$3:$B$10)-1,AD386-E386))-BD386</f>
        <v>33</v>
      </c>
      <c r="BD386" s="207">
        <v>24</v>
      </c>
      <c r="BE386" s="208" t="s">
        <v>3909</v>
      </c>
    </row>
    <row r="387" spans="2:57" ht="43.9" customHeight="1" x14ac:dyDescent="0.25">
      <c r="B387" s="100">
        <f t="shared" si="143"/>
        <v>369</v>
      </c>
      <c r="C387" s="110" t="s">
        <v>3057</v>
      </c>
      <c r="D387" s="99" t="s">
        <v>28</v>
      </c>
      <c r="E387" s="142">
        <v>44755</v>
      </c>
      <c r="F387" s="268" t="s">
        <v>4437</v>
      </c>
      <c r="G387" s="96" t="s">
        <v>3058</v>
      </c>
      <c r="H387" s="96" t="s">
        <v>3059</v>
      </c>
      <c r="I387" s="96" t="s">
        <v>636</v>
      </c>
      <c r="J387" s="133" t="s">
        <v>1818</v>
      </c>
      <c r="K387" s="343">
        <v>4194300480</v>
      </c>
      <c r="L387" s="99" t="s">
        <v>3442</v>
      </c>
      <c r="M387" s="99" t="s">
        <v>146</v>
      </c>
      <c r="N387" s="99"/>
      <c r="O387" s="99">
        <v>202203114</v>
      </c>
      <c r="P387" s="169"/>
      <c r="Q387" s="96" t="s">
        <v>146</v>
      </c>
      <c r="R387" s="96" t="s">
        <v>146</v>
      </c>
      <c r="S387" s="99" t="s">
        <v>146</v>
      </c>
      <c r="T387" s="96" t="s">
        <v>230</v>
      </c>
      <c r="U387" s="96" t="s">
        <v>151</v>
      </c>
      <c r="V387" s="119">
        <v>44759</v>
      </c>
      <c r="W387" s="170">
        <v>63</v>
      </c>
      <c r="X387" s="99">
        <v>59</v>
      </c>
      <c r="Y387" s="99" t="s">
        <v>1317</v>
      </c>
      <c r="Z387" s="99" t="s">
        <v>168</v>
      </c>
      <c r="AA387" s="99" t="s">
        <v>169</v>
      </c>
      <c r="AB387" s="96" t="s">
        <v>3060</v>
      </c>
      <c r="AC387" s="99"/>
      <c r="AD387" s="97">
        <v>44777</v>
      </c>
      <c r="AE387" s="183" t="s">
        <v>4438</v>
      </c>
      <c r="AF387" s="171"/>
      <c r="AG387" s="170">
        <v>22</v>
      </c>
      <c r="AH387" s="144">
        <v>18</v>
      </c>
      <c r="AI387" s="99" t="s">
        <v>146</v>
      </c>
      <c r="AJ387" s="96" t="s">
        <v>491</v>
      </c>
      <c r="AK387" s="96" t="s">
        <v>3061</v>
      </c>
      <c r="AL387" s="97">
        <v>44771</v>
      </c>
      <c r="AM387" s="204">
        <v>4192071840</v>
      </c>
      <c r="AN387" s="96" t="s">
        <v>1071</v>
      </c>
      <c r="AO387" s="99">
        <v>202207329</v>
      </c>
      <c r="AP387" s="181">
        <f t="shared" si="164"/>
        <v>2228640</v>
      </c>
      <c r="AQ387" s="138"/>
      <c r="AR387" s="138"/>
      <c r="AS387" s="99"/>
      <c r="AT387" s="99"/>
      <c r="AU387" s="138"/>
      <c r="AV387" s="99" t="s">
        <v>1001</v>
      </c>
      <c r="AW387" s="99" t="s">
        <v>1002</v>
      </c>
      <c r="AX387" s="96" t="s">
        <v>2393</v>
      </c>
      <c r="AY387" s="167">
        <f t="shared" si="165"/>
        <v>5.3134962805526033E-4</v>
      </c>
      <c r="AZ387" s="139">
        <f t="shared" si="144"/>
        <v>1</v>
      </c>
      <c r="BA387" s="139">
        <f t="shared" si="166"/>
        <v>0</v>
      </c>
      <c r="BB387" s="132">
        <f>IF(AA387="CONTRATADO",IF(BA387=1,NETWORKDAYS.INTL(E387,AD387,1,[1]FESTIVOS!$B$3:$B$10)-1,AD387-E387))-BD387</f>
        <v>22</v>
      </c>
      <c r="BC387" s="156"/>
      <c r="BD387" s="158"/>
      <c r="BE387" s="159"/>
    </row>
    <row r="388" spans="2:57" ht="43.9" customHeight="1" x14ac:dyDescent="0.25">
      <c r="B388" s="100">
        <f t="shared" si="143"/>
        <v>370</v>
      </c>
      <c r="C388" s="110" t="s">
        <v>2591</v>
      </c>
      <c r="D388" s="99" t="s">
        <v>28</v>
      </c>
      <c r="E388" s="189">
        <v>44755</v>
      </c>
      <c r="F388" s="268" t="s">
        <v>4437</v>
      </c>
      <c r="G388" s="96" t="s">
        <v>2592</v>
      </c>
      <c r="H388" s="96" t="s">
        <v>2593</v>
      </c>
      <c r="I388" s="96" t="s">
        <v>629</v>
      </c>
      <c r="J388" s="133" t="s">
        <v>2594</v>
      </c>
      <c r="K388" s="344">
        <v>1012208288</v>
      </c>
      <c r="L388" s="194" t="s">
        <v>3736</v>
      </c>
      <c r="M388" s="96" t="s">
        <v>146</v>
      </c>
      <c r="N388" s="96"/>
      <c r="O388" s="99">
        <v>202203114</v>
      </c>
      <c r="P388" s="190">
        <v>1012208288</v>
      </c>
      <c r="Q388" s="96" t="s">
        <v>146</v>
      </c>
      <c r="R388" s="96" t="s">
        <v>146</v>
      </c>
      <c r="S388" s="99" t="s">
        <v>146</v>
      </c>
      <c r="T388" s="96" t="s">
        <v>230</v>
      </c>
      <c r="U388" s="96" t="s">
        <v>34</v>
      </c>
      <c r="V388" s="192">
        <v>44759</v>
      </c>
      <c r="W388" s="186" t="e">
        <f>+$D$4-E388</f>
        <v>#VALUE!</v>
      </c>
      <c r="X388" s="99" t="e">
        <f>$D$4-V388</f>
        <v>#VALUE!</v>
      </c>
      <c r="Y388" s="99" t="s">
        <v>1317</v>
      </c>
      <c r="Z388" s="96" t="s">
        <v>168</v>
      </c>
      <c r="AA388" s="96" t="s">
        <v>169</v>
      </c>
      <c r="AB388" s="96" t="s">
        <v>2595</v>
      </c>
      <c r="AC388" s="99"/>
      <c r="AD388" s="97">
        <v>44810</v>
      </c>
      <c r="AE388" s="183" t="s">
        <v>4262</v>
      </c>
      <c r="AF388" s="183"/>
      <c r="AG388" s="186">
        <f>+AD388-E388</f>
        <v>55</v>
      </c>
      <c r="AH388" s="187">
        <f>+AD388-V388</f>
        <v>51</v>
      </c>
      <c r="AI388" s="99" t="s">
        <v>146</v>
      </c>
      <c r="AJ388" s="96" t="s">
        <v>491</v>
      </c>
      <c r="AK388" s="96" t="s">
        <v>3737</v>
      </c>
      <c r="AL388" s="97">
        <v>44785</v>
      </c>
      <c r="AM388" s="204">
        <v>1011189796</v>
      </c>
      <c r="AN388" s="96" t="s">
        <v>1069</v>
      </c>
      <c r="AO388" s="99">
        <v>202207811</v>
      </c>
      <c r="AP388" s="181">
        <f t="shared" si="164"/>
        <v>1018492</v>
      </c>
      <c r="AQ388" s="193"/>
      <c r="AR388" s="193"/>
      <c r="AS388" s="99"/>
      <c r="AT388" s="99"/>
      <c r="AU388" s="193"/>
      <c r="AV388" s="99" t="s">
        <v>1124</v>
      </c>
      <c r="AW388" s="99" t="s">
        <v>692</v>
      </c>
      <c r="AX388" s="96" t="s">
        <v>2393</v>
      </c>
      <c r="AY388" s="167">
        <f t="shared" si="165"/>
        <v>1.0062079238774223E-3</v>
      </c>
      <c r="AZ388" s="139">
        <f t="shared" si="144"/>
        <v>1</v>
      </c>
      <c r="BA388" s="139">
        <f t="shared" si="166"/>
        <v>0</v>
      </c>
      <c r="BB388" s="132">
        <f>IF(AA388="CONTRATADO",IF(BA388=1,NETWORKDAYS.INTL(E388,AD388,1,[1]FESTIVOS!$B$3:$B$10)-1,AD388-E388))-BD388</f>
        <v>55</v>
      </c>
      <c r="BD388" s="207"/>
      <c r="BE388" s="208"/>
    </row>
    <row r="389" spans="2:57" ht="43.9" customHeight="1" x14ac:dyDescent="0.25">
      <c r="B389" s="100">
        <f t="shared" si="143"/>
        <v>371</v>
      </c>
      <c r="C389" s="110" t="s">
        <v>3147</v>
      </c>
      <c r="D389" s="99" t="s">
        <v>28</v>
      </c>
      <c r="E389" s="142">
        <v>44755</v>
      </c>
      <c r="F389" s="268" t="s">
        <v>4437</v>
      </c>
      <c r="G389" s="96" t="s">
        <v>3148</v>
      </c>
      <c r="H389" s="96" t="s">
        <v>3149</v>
      </c>
      <c r="I389" s="96" t="s">
        <v>656</v>
      </c>
      <c r="J389" s="133" t="s">
        <v>3150</v>
      </c>
      <c r="K389" s="343">
        <v>3369600000</v>
      </c>
      <c r="L389" s="99" t="s">
        <v>3151</v>
      </c>
      <c r="M389" s="99" t="s">
        <v>146</v>
      </c>
      <c r="N389" s="99"/>
      <c r="O389" s="99">
        <v>202203114</v>
      </c>
      <c r="P389" s="169"/>
      <c r="Q389" s="96" t="s">
        <v>146</v>
      </c>
      <c r="R389" s="96" t="s">
        <v>146</v>
      </c>
      <c r="S389" s="99" t="s">
        <v>146</v>
      </c>
      <c r="T389" s="96" t="s">
        <v>230</v>
      </c>
      <c r="U389" s="96" t="s">
        <v>151</v>
      </c>
      <c r="V389" s="119">
        <v>44759</v>
      </c>
      <c r="W389" s="170">
        <f>+$D$2-E389</f>
        <v>-44755</v>
      </c>
      <c r="X389" s="99">
        <f>$D$2-V389</f>
        <v>-44759</v>
      </c>
      <c r="Y389" s="99" t="s">
        <v>1317</v>
      </c>
      <c r="Z389" s="96" t="s">
        <v>168</v>
      </c>
      <c r="AA389" s="99" t="s">
        <v>169</v>
      </c>
      <c r="AB389" s="96" t="s">
        <v>3042</v>
      </c>
      <c r="AC389" s="99"/>
      <c r="AD389" s="119">
        <v>44768</v>
      </c>
      <c r="AE389" s="183" t="s">
        <v>4437</v>
      </c>
      <c r="AF389" s="99"/>
      <c r="AG389" s="170">
        <f>+AD389-E389</f>
        <v>13</v>
      </c>
      <c r="AH389" s="144">
        <f>+AD389-V389</f>
        <v>9</v>
      </c>
      <c r="AI389" s="99" t="s">
        <v>146</v>
      </c>
      <c r="AJ389" s="96" t="s">
        <v>491</v>
      </c>
      <c r="AK389" s="96" t="s">
        <v>3152</v>
      </c>
      <c r="AL389" s="97">
        <v>44760</v>
      </c>
      <c r="AM389" s="204">
        <v>3369597431</v>
      </c>
      <c r="AN389" s="96" t="s">
        <v>1208</v>
      </c>
      <c r="AO389" s="99">
        <v>202207154</v>
      </c>
      <c r="AP389" s="181">
        <f t="shared" si="164"/>
        <v>2569</v>
      </c>
      <c r="AQ389" s="138"/>
      <c r="AR389" s="138"/>
      <c r="AS389" s="99"/>
      <c r="AT389" s="99"/>
      <c r="AU389" s="138"/>
      <c r="AV389" s="99" t="s">
        <v>1001</v>
      </c>
      <c r="AW389" s="99" t="s">
        <v>175</v>
      </c>
      <c r="AX389" s="96" t="s">
        <v>2393</v>
      </c>
      <c r="AY389" s="167">
        <f t="shared" si="165"/>
        <v>7.6240503323836655E-7</v>
      </c>
      <c r="AZ389" s="139">
        <f t="shared" si="144"/>
        <v>1</v>
      </c>
      <c r="BA389" s="139">
        <f t="shared" si="166"/>
        <v>0</v>
      </c>
      <c r="BB389" s="132">
        <f>IF(AA389="CONTRATADO",IF(BA389=1,NETWORKDAYS.INTL(E389,AD389,1,[1]FESTIVOS!$B$3:$B$10)-1,AD389-E389))-BD389</f>
        <v>13</v>
      </c>
      <c r="BC389" s="156"/>
      <c r="BD389" s="162"/>
      <c r="BE389" s="163"/>
    </row>
    <row r="390" spans="2:57" ht="43.9" customHeight="1" x14ac:dyDescent="0.25">
      <c r="B390" s="100">
        <f t="shared" si="143"/>
        <v>372</v>
      </c>
      <c r="C390" s="110" t="s">
        <v>2596</v>
      </c>
      <c r="D390" s="99" t="s">
        <v>332</v>
      </c>
      <c r="E390" s="189">
        <v>44755</v>
      </c>
      <c r="F390" s="268" t="s">
        <v>4437</v>
      </c>
      <c r="G390" s="96" t="s">
        <v>2597</v>
      </c>
      <c r="H390" s="96" t="s">
        <v>2598</v>
      </c>
      <c r="I390" s="96" t="s">
        <v>146</v>
      </c>
      <c r="J390" s="96" t="s">
        <v>2599</v>
      </c>
      <c r="K390" s="344">
        <v>29083819</v>
      </c>
      <c r="L390" s="188" t="s">
        <v>3025</v>
      </c>
      <c r="M390" s="99" t="s">
        <v>2600</v>
      </c>
      <c r="N390" s="99"/>
      <c r="O390" s="99">
        <v>202203026</v>
      </c>
      <c r="P390" s="185">
        <v>29120000</v>
      </c>
      <c r="Q390" s="96" t="s">
        <v>146</v>
      </c>
      <c r="R390" s="96" t="s">
        <v>146</v>
      </c>
      <c r="S390" s="99" t="s">
        <v>146</v>
      </c>
      <c r="T390" s="111" t="s">
        <v>43</v>
      </c>
      <c r="U390" s="96" t="s">
        <v>572</v>
      </c>
      <c r="V390" s="192">
        <v>44760</v>
      </c>
      <c r="W390" s="186" t="e">
        <f>+$D$4-E390</f>
        <v>#VALUE!</v>
      </c>
      <c r="X390" s="99" t="e">
        <f>$D$4-V390</f>
        <v>#VALUE!</v>
      </c>
      <c r="Y390" s="99" t="s">
        <v>1317</v>
      </c>
      <c r="Z390" s="99" t="s">
        <v>168</v>
      </c>
      <c r="AA390" s="99" t="s">
        <v>169</v>
      </c>
      <c r="AB390" s="96" t="s">
        <v>3184</v>
      </c>
      <c r="AC390" s="99"/>
      <c r="AD390" s="97">
        <v>44825</v>
      </c>
      <c r="AE390" s="183" t="s">
        <v>4262</v>
      </c>
      <c r="AF390" s="183"/>
      <c r="AG390" s="186">
        <f>+AD390-E390</f>
        <v>70</v>
      </c>
      <c r="AH390" s="187">
        <f>+AD390-V390</f>
        <v>65</v>
      </c>
      <c r="AI390" s="99" t="s">
        <v>258</v>
      </c>
      <c r="AJ390" s="96" t="s">
        <v>171</v>
      </c>
      <c r="AK390" s="99" t="s">
        <v>3738</v>
      </c>
      <c r="AL390" s="97">
        <v>44818</v>
      </c>
      <c r="AM390" s="204">
        <v>21704765</v>
      </c>
      <c r="AN390" s="96" t="s">
        <v>3440</v>
      </c>
      <c r="AO390" s="99">
        <v>202208415</v>
      </c>
      <c r="AP390" s="181">
        <f t="shared" si="164"/>
        <v>7379054</v>
      </c>
      <c r="AQ390" s="193"/>
      <c r="AR390" s="193"/>
      <c r="AS390" s="99"/>
      <c r="AT390" s="99"/>
      <c r="AU390" s="193"/>
      <c r="AV390" s="99" t="s">
        <v>1000</v>
      </c>
      <c r="AW390" s="99" t="s">
        <v>692</v>
      </c>
      <c r="AX390" s="96" t="s">
        <v>2385</v>
      </c>
      <c r="AY390" s="167">
        <f t="shared" si="165"/>
        <v>0.25371681758850168</v>
      </c>
      <c r="AZ390" s="139">
        <f t="shared" si="144"/>
        <v>0</v>
      </c>
      <c r="BA390" s="139">
        <f t="shared" si="166"/>
        <v>1</v>
      </c>
      <c r="BB390" s="132">
        <f>IF(AA390="CONTRATADO",IF(BA390=1,NETWORKDAYS.INTL(E390,AD390,1,[1]FESTIVOS!$B$3:$B$10)-1,AD390-E390))-BD390</f>
        <v>36</v>
      </c>
      <c r="BD390" s="207">
        <v>14</v>
      </c>
      <c r="BE390" s="208" t="s">
        <v>3898</v>
      </c>
    </row>
    <row r="391" spans="2:57" ht="43.9" customHeight="1" x14ac:dyDescent="0.25">
      <c r="B391" s="100">
        <f t="shared" si="143"/>
        <v>373</v>
      </c>
      <c r="C391" s="267" t="s">
        <v>2601</v>
      </c>
      <c r="D391" s="265" t="s">
        <v>332</v>
      </c>
      <c r="E391" s="281">
        <v>44755</v>
      </c>
      <c r="F391" s="268" t="s">
        <v>4437</v>
      </c>
      <c r="G391" s="269" t="s">
        <v>2602</v>
      </c>
      <c r="H391" s="269" t="s">
        <v>2603</v>
      </c>
      <c r="I391" s="269" t="s">
        <v>146</v>
      </c>
      <c r="J391" s="269" t="s">
        <v>2604</v>
      </c>
      <c r="K391" s="350">
        <v>2619798708</v>
      </c>
      <c r="L391" s="282"/>
      <c r="M391" s="265" t="s">
        <v>2605</v>
      </c>
      <c r="N391" s="279" t="str">
        <f>MID(M391,5,3)</f>
        <v>IP-</v>
      </c>
      <c r="O391" s="265" t="s">
        <v>2606</v>
      </c>
      <c r="P391" s="271"/>
      <c r="Q391" s="269" t="s">
        <v>146</v>
      </c>
      <c r="R391" s="269" t="s">
        <v>146</v>
      </c>
      <c r="S391" s="265" t="s">
        <v>146</v>
      </c>
      <c r="T391" s="111" t="s">
        <v>43</v>
      </c>
      <c r="U391" s="269" t="s">
        <v>312</v>
      </c>
      <c r="V391" s="285">
        <v>44865</v>
      </c>
      <c r="W391" s="266" t="e">
        <f>+$D$4-E391</f>
        <v>#VALUE!</v>
      </c>
      <c r="X391" s="266" t="e">
        <f>$D$4-V391</f>
        <v>#VALUE!</v>
      </c>
      <c r="Y391" s="265" t="s">
        <v>1317</v>
      </c>
      <c r="Z391" s="269" t="s">
        <v>1878</v>
      </c>
      <c r="AA391" s="269" t="s">
        <v>169</v>
      </c>
      <c r="AB391" s="278">
        <v>44894</v>
      </c>
      <c r="AC391" s="269" t="s">
        <v>4230</v>
      </c>
      <c r="AD391" s="272">
        <v>44893</v>
      </c>
      <c r="AE391" s="273" t="s">
        <v>4274</v>
      </c>
      <c r="AF391" s="273" t="str">
        <f>+IF(AD391="","",TEXT(AD391,"mmm"))</f>
        <v>nov</v>
      </c>
      <c r="AG391" s="274">
        <f>+AD391-E391</f>
        <v>138</v>
      </c>
      <c r="AH391" s="275">
        <f>+AD391-V391</f>
        <v>28</v>
      </c>
      <c r="AI391" s="265" t="s">
        <v>2462</v>
      </c>
      <c r="AJ391" s="269" t="s">
        <v>171</v>
      </c>
      <c r="AK391" s="265" t="s">
        <v>4219</v>
      </c>
      <c r="AL391" s="265" t="s">
        <v>4220</v>
      </c>
      <c r="AM391" s="276">
        <v>2619798708</v>
      </c>
      <c r="AN391" s="269" t="s">
        <v>4221</v>
      </c>
      <c r="AO391" s="265" t="s">
        <v>4222</v>
      </c>
      <c r="AP391" s="181">
        <f t="shared" si="164"/>
        <v>0</v>
      </c>
      <c r="AQ391" s="277"/>
      <c r="AR391" s="265"/>
      <c r="AS391" s="265"/>
      <c r="AT391" s="200"/>
      <c r="AU391" s="200"/>
      <c r="AV391" s="260"/>
      <c r="AW391" s="260"/>
      <c r="AX391" s="260"/>
      <c r="AY391" s="167">
        <f t="shared" si="165"/>
        <v>0</v>
      </c>
      <c r="AZ391" s="139">
        <f t="shared" si="144"/>
        <v>0</v>
      </c>
      <c r="BA391" s="139">
        <f t="shared" si="166"/>
        <v>1</v>
      </c>
      <c r="BB391" s="132">
        <f>IF(AA391="CONTRATADO",IF(BA391=1,NETWORKDAYS.INTL(E391,AD391,1,[1]FESTIVOS!$B$3:$B$10)-1,AD391-E391))-BD391</f>
        <v>71</v>
      </c>
      <c r="BD391" s="207">
        <v>27</v>
      </c>
      <c r="BE391" s="208" t="s">
        <v>4229</v>
      </c>
    </row>
    <row r="392" spans="2:57" ht="43.9" customHeight="1" x14ac:dyDescent="0.25">
      <c r="B392" s="100">
        <f t="shared" si="143"/>
        <v>374</v>
      </c>
      <c r="C392" s="110" t="s">
        <v>2607</v>
      </c>
      <c r="D392" s="99" t="s">
        <v>332</v>
      </c>
      <c r="E392" s="142">
        <v>44755</v>
      </c>
      <c r="F392" s="268" t="s">
        <v>4437</v>
      </c>
      <c r="G392" s="96" t="s">
        <v>2608</v>
      </c>
      <c r="H392" s="96" t="s">
        <v>2609</v>
      </c>
      <c r="I392" s="96" t="s">
        <v>146</v>
      </c>
      <c r="J392" s="133" t="s">
        <v>2610</v>
      </c>
      <c r="K392" s="343">
        <v>97226223</v>
      </c>
      <c r="L392" s="96" t="s">
        <v>3025</v>
      </c>
      <c r="M392" s="99" t="s">
        <v>2611</v>
      </c>
      <c r="N392" s="99"/>
      <c r="O392" s="99">
        <v>202203963</v>
      </c>
      <c r="P392" s="168">
        <v>97226223</v>
      </c>
      <c r="Q392" s="96" t="s">
        <v>146</v>
      </c>
      <c r="R392" s="96" t="s">
        <v>146</v>
      </c>
      <c r="S392" s="99" t="s">
        <v>146</v>
      </c>
      <c r="T392" s="111" t="s">
        <v>43</v>
      </c>
      <c r="U392" s="96" t="s">
        <v>277</v>
      </c>
      <c r="V392" s="119">
        <v>44777</v>
      </c>
      <c r="W392" s="170">
        <v>63</v>
      </c>
      <c r="X392" s="99">
        <v>41</v>
      </c>
      <c r="Y392" s="99" t="s">
        <v>1317</v>
      </c>
      <c r="Z392" s="99" t="s">
        <v>168</v>
      </c>
      <c r="AA392" s="99" t="s">
        <v>169</v>
      </c>
      <c r="AB392" s="96" t="s">
        <v>3443</v>
      </c>
      <c r="AC392" s="96" t="s">
        <v>2612</v>
      </c>
      <c r="AD392" s="97">
        <v>44802</v>
      </c>
      <c r="AE392" s="183" t="s">
        <v>4438</v>
      </c>
      <c r="AF392" s="171"/>
      <c r="AG392" s="170">
        <v>47</v>
      </c>
      <c r="AH392" s="144">
        <v>25</v>
      </c>
      <c r="AI392" s="99" t="s">
        <v>258</v>
      </c>
      <c r="AJ392" s="96" t="s">
        <v>171</v>
      </c>
      <c r="AK392" s="99" t="s">
        <v>3444</v>
      </c>
      <c r="AL392" s="97">
        <v>44789</v>
      </c>
      <c r="AM392" s="204">
        <v>93140500</v>
      </c>
      <c r="AN392" s="96" t="s">
        <v>3445</v>
      </c>
      <c r="AO392" s="99">
        <v>202207950</v>
      </c>
      <c r="AP392" s="181">
        <f t="shared" si="164"/>
        <v>4085723</v>
      </c>
      <c r="AQ392" s="138"/>
      <c r="AR392" s="138"/>
      <c r="AS392" s="99"/>
      <c r="AT392" s="99"/>
      <c r="AU392" s="138"/>
      <c r="AV392" s="99" t="s">
        <v>174</v>
      </c>
      <c r="AW392" s="99" t="s">
        <v>175</v>
      </c>
      <c r="AX392" s="96" t="s">
        <v>2437</v>
      </c>
      <c r="AY392" s="167">
        <f t="shared" si="165"/>
        <v>4.2022850152268074E-2</v>
      </c>
      <c r="AZ392" s="139">
        <f t="shared" si="144"/>
        <v>0</v>
      </c>
      <c r="BA392" s="139">
        <f t="shared" si="166"/>
        <v>1</v>
      </c>
      <c r="BB392" s="132">
        <f>IF(AA392="CONTRATADO",IF(BA392=1,NETWORKDAYS.INTL(E392,AD392,1,[1]FESTIVOS!$B$3:$B$10)-1,AD392-E392))-BD392</f>
        <v>28</v>
      </c>
      <c r="BC392" s="156"/>
      <c r="BD392" s="162">
        <v>5</v>
      </c>
      <c r="BE392" s="163" t="s">
        <v>3525</v>
      </c>
    </row>
    <row r="393" spans="2:57" ht="43.9" customHeight="1" x14ac:dyDescent="0.25">
      <c r="B393" s="100">
        <f t="shared" si="143"/>
        <v>375</v>
      </c>
      <c r="C393" s="110" t="s">
        <v>3914</v>
      </c>
      <c r="D393" s="99" t="s">
        <v>28</v>
      </c>
      <c r="E393" s="189">
        <v>44755</v>
      </c>
      <c r="F393" s="268" t="s">
        <v>4437</v>
      </c>
      <c r="G393" s="96" t="s">
        <v>2613</v>
      </c>
      <c r="H393" s="96" t="s">
        <v>2614</v>
      </c>
      <c r="I393" s="96" t="s">
        <v>146</v>
      </c>
      <c r="J393" s="96" t="s">
        <v>2615</v>
      </c>
      <c r="K393" s="344">
        <v>26256453</v>
      </c>
      <c r="L393" s="194" t="s">
        <v>3484</v>
      </c>
      <c r="M393" s="99" t="s">
        <v>2512</v>
      </c>
      <c r="N393" s="99"/>
      <c r="O393" s="99" t="s">
        <v>2616</v>
      </c>
      <c r="P393" s="190">
        <v>26256453</v>
      </c>
      <c r="Q393" s="96" t="s">
        <v>146</v>
      </c>
      <c r="R393" s="96" t="s">
        <v>146</v>
      </c>
      <c r="S393" s="99" t="s">
        <v>146</v>
      </c>
      <c r="T393" s="111" t="s">
        <v>43</v>
      </c>
      <c r="U393" s="96" t="s">
        <v>151</v>
      </c>
      <c r="V393" s="192">
        <v>44755</v>
      </c>
      <c r="W393" s="186" t="e">
        <f>+$D$3-E393</f>
        <v>#VALUE!</v>
      </c>
      <c r="X393" s="99" t="e">
        <f>$D$3-V393</f>
        <v>#VALUE!</v>
      </c>
      <c r="Y393" s="99" t="s">
        <v>1317</v>
      </c>
      <c r="Z393" s="99" t="s">
        <v>168</v>
      </c>
      <c r="AA393" s="99" t="s">
        <v>169</v>
      </c>
      <c r="AB393" s="96" t="s">
        <v>2617</v>
      </c>
      <c r="AC393" s="200"/>
      <c r="AD393" s="97">
        <v>44805</v>
      </c>
      <c r="AE393" s="183" t="s">
        <v>4271</v>
      </c>
      <c r="AF393" s="200"/>
      <c r="AG393" s="186">
        <f>+AD393-E393</f>
        <v>50</v>
      </c>
      <c r="AH393" s="187">
        <f>+AD393-V393</f>
        <v>50</v>
      </c>
      <c r="AI393" s="99" t="s">
        <v>258</v>
      </c>
      <c r="AJ393" s="96" t="s">
        <v>491</v>
      </c>
      <c r="AK393" s="99" t="s">
        <v>3739</v>
      </c>
      <c r="AL393" s="97">
        <v>44803</v>
      </c>
      <c r="AM393" s="204">
        <v>26256243</v>
      </c>
      <c r="AN393" s="96" t="s">
        <v>3740</v>
      </c>
      <c r="AO393" s="99">
        <v>202208018</v>
      </c>
      <c r="AP393" s="181">
        <f t="shared" si="164"/>
        <v>210</v>
      </c>
      <c r="AQ393" s="393"/>
      <c r="AR393" s="200"/>
      <c r="AS393" s="200"/>
      <c r="AT393" s="138"/>
      <c r="AU393" s="99"/>
      <c r="AV393" s="99" t="s">
        <v>1001</v>
      </c>
      <c r="AW393" s="99" t="s">
        <v>1123</v>
      </c>
      <c r="AX393" s="99"/>
      <c r="AY393" s="167">
        <f t="shared" si="165"/>
        <v>7.9980338547632467E-6</v>
      </c>
      <c r="AZ393" s="139">
        <f t="shared" si="144"/>
        <v>1</v>
      </c>
      <c r="BA393" s="139">
        <f t="shared" si="166"/>
        <v>1</v>
      </c>
      <c r="BB393" s="132">
        <f>IF(AA393="CONTRATADO",IF(BA393=1,NETWORKDAYS.INTL(E393,AD393,1,[1]FESTIVOS!$B$3:$B$10)-1,AD393-E393))-BD393</f>
        <v>33</v>
      </c>
      <c r="BC393" s="259"/>
      <c r="BD393" s="157">
        <v>3</v>
      </c>
      <c r="BE393" s="156" t="s">
        <v>3992</v>
      </c>
    </row>
    <row r="394" spans="2:57" ht="43.9" customHeight="1" x14ac:dyDescent="0.25">
      <c r="B394" s="100">
        <f t="shared" si="143"/>
        <v>376</v>
      </c>
      <c r="C394" s="110" t="s">
        <v>2618</v>
      </c>
      <c r="D394" s="99" t="s">
        <v>28</v>
      </c>
      <c r="E394" s="142">
        <v>44755</v>
      </c>
      <c r="F394" s="268" t="s">
        <v>4437</v>
      </c>
      <c r="G394" s="96" t="s">
        <v>2619</v>
      </c>
      <c r="H394" s="96" t="s">
        <v>2620</v>
      </c>
      <c r="I394" s="96" t="s">
        <v>649</v>
      </c>
      <c r="J394" s="133" t="s">
        <v>2621</v>
      </c>
      <c r="K394" s="343">
        <v>4566744000</v>
      </c>
      <c r="L394" s="99" t="s">
        <v>3020</v>
      </c>
      <c r="M394" s="99" t="s">
        <v>146</v>
      </c>
      <c r="N394" s="99"/>
      <c r="O394" s="99">
        <v>202203114</v>
      </c>
      <c r="P394" s="169"/>
      <c r="Q394" s="96" t="s">
        <v>146</v>
      </c>
      <c r="R394" s="96" t="s">
        <v>146</v>
      </c>
      <c r="S394" s="99" t="s">
        <v>146</v>
      </c>
      <c r="T394" s="96" t="s">
        <v>230</v>
      </c>
      <c r="U394" s="96" t="s">
        <v>151</v>
      </c>
      <c r="V394" s="119">
        <v>44755</v>
      </c>
      <c r="W394" s="170">
        <v>63</v>
      </c>
      <c r="X394" s="99">
        <v>63</v>
      </c>
      <c r="Y394" s="99" t="s">
        <v>1317</v>
      </c>
      <c r="Z394" s="99" t="s">
        <v>168</v>
      </c>
      <c r="AA394" s="99" t="s">
        <v>169</v>
      </c>
      <c r="AB394" s="96" t="s">
        <v>2622</v>
      </c>
      <c r="AC394" s="99"/>
      <c r="AD394" s="97">
        <v>44791</v>
      </c>
      <c r="AE394" s="183" t="s">
        <v>4438</v>
      </c>
      <c r="AF394" s="171"/>
      <c r="AG394" s="170">
        <v>36</v>
      </c>
      <c r="AH394" s="144">
        <v>36</v>
      </c>
      <c r="AI394" s="99" t="s">
        <v>146</v>
      </c>
      <c r="AJ394" s="96" t="s">
        <v>491</v>
      </c>
      <c r="AK394" s="96" t="s">
        <v>3446</v>
      </c>
      <c r="AL394" s="97">
        <v>44778</v>
      </c>
      <c r="AM394" s="204">
        <v>4566740920</v>
      </c>
      <c r="AN394" s="96" t="s">
        <v>1071</v>
      </c>
      <c r="AO394" s="99">
        <v>202207744</v>
      </c>
      <c r="AP394" s="181">
        <f t="shared" si="164"/>
        <v>3080</v>
      </c>
      <c r="AQ394" s="138"/>
      <c r="AR394" s="138"/>
      <c r="AS394" s="99"/>
      <c r="AT394" s="99"/>
      <c r="AU394" s="138"/>
      <c r="AV394" s="99" t="s">
        <v>1001</v>
      </c>
      <c r="AW394" s="99" t="s">
        <v>1002</v>
      </c>
      <c r="AX394" s="96" t="s">
        <v>2393</v>
      </c>
      <c r="AY394" s="167">
        <f t="shared" si="165"/>
        <v>6.74441133551607E-7</v>
      </c>
      <c r="AZ394" s="139">
        <f t="shared" si="144"/>
        <v>1</v>
      </c>
      <c r="BA394" s="139">
        <f t="shared" si="166"/>
        <v>0</v>
      </c>
      <c r="BB394" s="132">
        <f>IF(AA394="CONTRATADO",IF(BA394=1,NETWORKDAYS.INTL(E394,AD394,1,[1]FESTIVOS!$B$3:$B$10)-1,AD394-E394))-BD394</f>
        <v>36</v>
      </c>
      <c r="BC394" s="156"/>
      <c r="BD394" s="158"/>
      <c r="BE394" s="159"/>
    </row>
    <row r="395" spans="2:57" ht="43.9" customHeight="1" x14ac:dyDescent="0.25">
      <c r="B395" s="100">
        <f t="shared" si="143"/>
        <v>377</v>
      </c>
      <c r="C395" s="293" t="s">
        <v>2623</v>
      </c>
      <c r="D395" s="312" t="s">
        <v>32</v>
      </c>
      <c r="E395" s="284">
        <v>44755</v>
      </c>
      <c r="F395" s="268" t="s">
        <v>4437</v>
      </c>
      <c r="G395" s="269" t="s">
        <v>2624</v>
      </c>
      <c r="H395" s="265" t="s">
        <v>2625</v>
      </c>
      <c r="I395" s="265" t="s">
        <v>146</v>
      </c>
      <c r="J395" s="269" t="s">
        <v>2626</v>
      </c>
      <c r="K395" s="342">
        <v>17366079000</v>
      </c>
      <c r="L395" s="282"/>
      <c r="M395" s="265" t="s">
        <v>2627</v>
      </c>
      <c r="N395" s="302" t="str">
        <f>MID(M395,5,3)</f>
        <v>IPU</v>
      </c>
      <c r="O395" s="265">
        <v>202204119</v>
      </c>
      <c r="P395" s="271"/>
      <c r="Q395" s="265" t="s">
        <v>146</v>
      </c>
      <c r="R395" s="265" t="s">
        <v>146</v>
      </c>
      <c r="S395" s="265" t="s">
        <v>146</v>
      </c>
      <c r="T395" s="111" t="s">
        <v>40</v>
      </c>
      <c r="U395" s="269" t="s">
        <v>187</v>
      </c>
      <c r="V395" s="285">
        <v>44760</v>
      </c>
      <c r="W395" s="303" t="e">
        <f>+$D$4-E395</f>
        <v>#VALUE!</v>
      </c>
      <c r="X395" s="303" t="e">
        <f>$D$4-V395</f>
        <v>#VALUE!</v>
      </c>
      <c r="Y395" s="265" t="s">
        <v>1300</v>
      </c>
      <c r="Z395" s="265" t="s">
        <v>152</v>
      </c>
      <c r="AA395" s="265" t="s">
        <v>153</v>
      </c>
      <c r="AB395" s="265"/>
      <c r="AC395" s="304" t="s">
        <v>3531</v>
      </c>
      <c r="AD395" s="272">
        <v>44853</v>
      </c>
      <c r="AE395" s="272"/>
      <c r="AF395" s="305" t="str">
        <f>+IF(AD395="","",TEXT(AD395,"mmm"))</f>
        <v>oct</v>
      </c>
      <c r="AG395" s="306">
        <f>+AD395-E395</f>
        <v>98</v>
      </c>
      <c r="AH395" s="307">
        <f>+AD395-V395</f>
        <v>93</v>
      </c>
      <c r="AI395" s="265"/>
      <c r="AJ395" s="265" t="s">
        <v>171</v>
      </c>
      <c r="AK395" s="265"/>
      <c r="AL395" s="265"/>
      <c r="AM395" s="265"/>
      <c r="AN395" s="309"/>
      <c r="AO395" s="269"/>
      <c r="AP395" s="265"/>
      <c r="AQ395" s="309"/>
      <c r="AR395" s="289"/>
      <c r="AS395" s="269"/>
      <c r="AT395" s="265"/>
      <c r="AU395" s="260"/>
      <c r="AV395" s="260"/>
      <c r="AW395" s="200"/>
      <c r="AX395" s="200"/>
      <c r="AY395" s="200"/>
      <c r="AZ395" s="139">
        <f t="shared" si="144"/>
        <v>1</v>
      </c>
      <c r="BA395" s="200"/>
      <c r="BB395" s="200"/>
      <c r="BC395" s="3"/>
      <c r="BD395" s="95"/>
      <c r="BE395" s="2"/>
    </row>
    <row r="396" spans="2:57" ht="43.9" customHeight="1" x14ac:dyDescent="0.25">
      <c r="B396" s="100">
        <f t="shared" si="143"/>
        <v>378</v>
      </c>
      <c r="C396" s="110" t="s">
        <v>2628</v>
      </c>
      <c r="D396" s="99" t="s">
        <v>32</v>
      </c>
      <c r="E396" s="142">
        <v>44755</v>
      </c>
      <c r="F396" s="268" t="s">
        <v>4437</v>
      </c>
      <c r="G396" s="96" t="s">
        <v>2629</v>
      </c>
      <c r="H396" s="96" t="s">
        <v>2630</v>
      </c>
      <c r="I396" s="96" t="s">
        <v>146</v>
      </c>
      <c r="J396" s="133" t="s">
        <v>2631</v>
      </c>
      <c r="K396" s="348">
        <v>61190810</v>
      </c>
      <c r="L396" s="99" t="s">
        <v>615</v>
      </c>
      <c r="M396" s="96" t="s">
        <v>2632</v>
      </c>
      <c r="N396" s="96"/>
      <c r="O396" s="99">
        <v>202205063</v>
      </c>
      <c r="P396" s="169"/>
      <c r="Q396" s="96" t="s">
        <v>146</v>
      </c>
      <c r="R396" s="96" t="s">
        <v>146</v>
      </c>
      <c r="S396" s="99" t="s">
        <v>146</v>
      </c>
      <c r="T396" s="111" t="s">
        <v>43</v>
      </c>
      <c r="U396" s="96" t="s">
        <v>503</v>
      </c>
      <c r="V396" s="119">
        <v>44785</v>
      </c>
      <c r="W396" s="170">
        <v>63</v>
      </c>
      <c r="X396" s="99">
        <v>33</v>
      </c>
      <c r="Y396" s="99" t="s">
        <v>1317</v>
      </c>
      <c r="Z396" s="99" t="s">
        <v>168</v>
      </c>
      <c r="AA396" s="99" t="s">
        <v>169</v>
      </c>
      <c r="AB396" s="96" t="s">
        <v>2633</v>
      </c>
      <c r="AC396" s="99"/>
      <c r="AD396" s="97">
        <v>44792</v>
      </c>
      <c r="AE396" s="183" t="s">
        <v>4438</v>
      </c>
      <c r="AF396" s="171"/>
      <c r="AG396" s="170">
        <v>37</v>
      </c>
      <c r="AH396" s="144">
        <v>7</v>
      </c>
      <c r="AI396" s="99" t="s">
        <v>241</v>
      </c>
      <c r="AJ396" s="96" t="s">
        <v>171</v>
      </c>
      <c r="AK396" s="99" t="s">
        <v>3447</v>
      </c>
      <c r="AL396" s="97">
        <v>44784</v>
      </c>
      <c r="AM396" s="204">
        <v>61190810</v>
      </c>
      <c r="AN396" s="96" t="s">
        <v>3448</v>
      </c>
      <c r="AO396" s="99">
        <v>202207810</v>
      </c>
      <c r="AP396" s="181">
        <f t="shared" ref="AP396:AP397" si="167">+K396-AM396</f>
        <v>0</v>
      </c>
      <c r="AQ396" s="138"/>
      <c r="AR396" s="138"/>
      <c r="AS396" s="99"/>
      <c r="AT396" s="99"/>
      <c r="AU396" s="138"/>
      <c r="AV396" s="99" t="s">
        <v>1000</v>
      </c>
      <c r="AW396" s="99" t="s">
        <v>692</v>
      </c>
      <c r="AX396" s="96" t="s">
        <v>2379</v>
      </c>
      <c r="AY396" s="167">
        <f t="shared" ref="AY396:AY397" si="168">+AP396/K396</f>
        <v>0</v>
      </c>
      <c r="AZ396" s="139">
        <f t="shared" si="144"/>
        <v>1</v>
      </c>
      <c r="BA396" s="139">
        <f>IF(T396="Invitación Privada",1,IF(T396="Invitación Pública",2,0))</f>
        <v>1</v>
      </c>
      <c r="BB396" s="132">
        <f>IF(AA396="CONTRATADO",IF(BA396=1,NETWORKDAYS.INTL(E396,AD396,1,[1]FESTIVOS!$B$3:$B$10)-1,AD396-E396))-BD396</f>
        <v>27</v>
      </c>
      <c r="BC396" s="156"/>
      <c r="BD396" s="158"/>
      <c r="BE396" s="159"/>
    </row>
    <row r="397" spans="2:57" ht="43.9" customHeight="1" x14ac:dyDescent="0.25">
      <c r="B397" s="100">
        <f t="shared" si="143"/>
        <v>379</v>
      </c>
      <c r="C397" s="110" t="s">
        <v>2634</v>
      </c>
      <c r="D397" s="99" t="s">
        <v>32</v>
      </c>
      <c r="E397" s="189">
        <v>44755</v>
      </c>
      <c r="F397" s="268" t="s">
        <v>4437</v>
      </c>
      <c r="G397" s="96" t="s">
        <v>2635</v>
      </c>
      <c r="H397" s="96" t="s">
        <v>2636</v>
      </c>
      <c r="I397" s="96" t="s">
        <v>146</v>
      </c>
      <c r="J397" s="96" t="s">
        <v>2637</v>
      </c>
      <c r="K397" s="344">
        <v>47600000</v>
      </c>
      <c r="L397" s="188" t="s">
        <v>228</v>
      </c>
      <c r="M397" s="99" t="s">
        <v>2638</v>
      </c>
      <c r="N397" s="99"/>
      <c r="O397" s="99">
        <v>202205064</v>
      </c>
      <c r="P397" s="190">
        <v>47600000</v>
      </c>
      <c r="Q397" s="96" t="s">
        <v>146</v>
      </c>
      <c r="R397" s="96" t="s">
        <v>146</v>
      </c>
      <c r="S397" s="99" t="s">
        <v>146</v>
      </c>
      <c r="T397" s="111" t="s">
        <v>43</v>
      </c>
      <c r="U397" s="96" t="s">
        <v>572</v>
      </c>
      <c r="V397" s="192">
        <v>44760</v>
      </c>
      <c r="W397" s="186" t="e">
        <f t="shared" ref="W397:W406" si="169">+$D$4-E397</f>
        <v>#VALUE!</v>
      </c>
      <c r="X397" s="99" t="e">
        <f t="shared" ref="X397:X406" si="170">$D$4-V397</f>
        <v>#VALUE!</v>
      </c>
      <c r="Y397" s="99" t="s">
        <v>1317</v>
      </c>
      <c r="Z397" s="99" t="s">
        <v>168</v>
      </c>
      <c r="AA397" s="99" t="s">
        <v>169</v>
      </c>
      <c r="AB397" s="96" t="s">
        <v>2639</v>
      </c>
      <c r="AC397" s="99"/>
      <c r="AD397" s="97">
        <v>44825</v>
      </c>
      <c r="AE397" s="183" t="s">
        <v>4262</v>
      </c>
      <c r="AF397" s="183"/>
      <c r="AG397" s="186">
        <f t="shared" ref="AG397:AG406" si="171">+AD397-E397</f>
        <v>70</v>
      </c>
      <c r="AH397" s="187">
        <f t="shared" ref="AH397:AH406" si="172">+AD397-V397</f>
        <v>65</v>
      </c>
      <c r="AI397" s="99" t="s">
        <v>2388</v>
      </c>
      <c r="AJ397" s="96" t="s">
        <v>171</v>
      </c>
      <c r="AK397" s="99" t="s">
        <v>3741</v>
      </c>
      <c r="AL397" s="97">
        <v>44819</v>
      </c>
      <c r="AM397" s="204">
        <v>43693800</v>
      </c>
      <c r="AN397" s="96" t="s">
        <v>3448</v>
      </c>
      <c r="AO397" s="99">
        <v>202208442</v>
      </c>
      <c r="AP397" s="181">
        <f t="shared" si="167"/>
        <v>3906200</v>
      </c>
      <c r="AQ397" s="193"/>
      <c r="AR397" s="193"/>
      <c r="AS397" s="99"/>
      <c r="AT397" s="99"/>
      <c r="AU397" s="193"/>
      <c r="AV397" s="99" t="s">
        <v>1000</v>
      </c>
      <c r="AW397" s="99" t="s">
        <v>692</v>
      </c>
      <c r="AX397" s="96" t="s">
        <v>2379</v>
      </c>
      <c r="AY397" s="167">
        <f t="shared" si="168"/>
        <v>8.2063025210084031E-2</v>
      </c>
      <c r="AZ397" s="139">
        <f t="shared" si="144"/>
        <v>1</v>
      </c>
      <c r="BA397" s="139">
        <f>IF(T397="Invitación Privada",1,IF(T397="Invitación Pública",2,0))</f>
        <v>1</v>
      </c>
      <c r="BB397" s="132">
        <f>IF(AA397="CONTRATADO",IF(BA397=1,NETWORKDAYS.INTL(E397,AD397,1,[1]FESTIVOS!$B$3:$B$10)-1,AD397-E397))-BD397</f>
        <v>30</v>
      </c>
      <c r="BD397" s="207">
        <v>20</v>
      </c>
      <c r="BE397" s="208" t="s">
        <v>3899</v>
      </c>
    </row>
    <row r="398" spans="2:57" ht="43.9" customHeight="1" x14ac:dyDescent="0.25">
      <c r="B398" s="100">
        <f t="shared" si="143"/>
        <v>380</v>
      </c>
      <c r="C398" s="293" t="s">
        <v>2640</v>
      </c>
      <c r="D398" s="265" t="s">
        <v>28</v>
      </c>
      <c r="E398" s="284">
        <v>44756</v>
      </c>
      <c r="F398" s="268" t="s">
        <v>4437</v>
      </c>
      <c r="G398" s="269" t="s">
        <v>2641</v>
      </c>
      <c r="H398" s="265" t="s">
        <v>2642</v>
      </c>
      <c r="I398" s="265" t="s">
        <v>146</v>
      </c>
      <c r="J398" s="269" t="s">
        <v>2643</v>
      </c>
      <c r="K398" s="342">
        <v>13386733241</v>
      </c>
      <c r="L398" s="282"/>
      <c r="M398" s="265" t="s">
        <v>2644</v>
      </c>
      <c r="N398" s="302" t="str">
        <f>MID(M398,5,3)</f>
        <v>IPU</v>
      </c>
      <c r="O398" s="265">
        <v>202200781</v>
      </c>
      <c r="P398" s="271"/>
      <c r="Q398" s="265" t="s">
        <v>3185</v>
      </c>
      <c r="R398" s="265"/>
      <c r="S398" s="265" t="s">
        <v>146</v>
      </c>
      <c r="T398" s="111" t="s">
        <v>40</v>
      </c>
      <c r="U398" s="269" t="s">
        <v>187</v>
      </c>
      <c r="V398" s="285">
        <v>44760</v>
      </c>
      <c r="W398" s="303" t="e">
        <f t="shared" si="169"/>
        <v>#VALUE!</v>
      </c>
      <c r="X398" s="303" t="e">
        <f t="shared" si="170"/>
        <v>#VALUE!</v>
      </c>
      <c r="Y398" s="265"/>
      <c r="Z398" s="265" t="s">
        <v>152</v>
      </c>
      <c r="AA398" s="265" t="s">
        <v>153</v>
      </c>
      <c r="AB398" s="272">
        <v>44904</v>
      </c>
      <c r="AC398" s="304" t="s">
        <v>4070</v>
      </c>
      <c r="AD398" s="265"/>
      <c r="AE398" s="265"/>
      <c r="AF398" s="305" t="str">
        <f>+IF(AD398="","",TEXT(AD398,"mmm"))</f>
        <v/>
      </c>
      <c r="AG398" s="306">
        <f t="shared" si="171"/>
        <v>-44756</v>
      </c>
      <c r="AH398" s="307">
        <f t="shared" si="172"/>
        <v>-44760</v>
      </c>
      <c r="AI398" s="265"/>
      <c r="AJ398" s="265" t="s">
        <v>155</v>
      </c>
      <c r="AK398" s="265"/>
      <c r="AL398" s="265"/>
      <c r="AM398" s="265"/>
      <c r="AN398" s="309"/>
      <c r="AO398" s="269"/>
      <c r="AP398" s="265"/>
      <c r="AQ398" s="309"/>
      <c r="AR398" s="289"/>
      <c r="AS398" s="269"/>
      <c r="AT398" s="265"/>
      <c r="AU398" s="260"/>
      <c r="AV398" s="260"/>
      <c r="AW398" s="200"/>
      <c r="AX398" s="200"/>
      <c r="AY398" s="200"/>
      <c r="AZ398" s="139">
        <f t="shared" si="144"/>
        <v>1</v>
      </c>
      <c r="BA398" s="200"/>
      <c r="BB398" s="200"/>
      <c r="BC398" s="3"/>
      <c r="BD398" s="95"/>
      <c r="BE398" s="2"/>
    </row>
    <row r="399" spans="2:57" ht="43.9" customHeight="1" x14ac:dyDescent="0.25">
      <c r="B399" s="100">
        <f t="shared" si="143"/>
        <v>381</v>
      </c>
      <c r="C399" s="293" t="s">
        <v>2645</v>
      </c>
      <c r="D399" s="265" t="s">
        <v>28</v>
      </c>
      <c r="E399" s="272">
        <v>44756</v>
      </c>
      <c r="F399" s="268" t="s">
        <v>4437</v>
      </c>
      <c r="G399" s="269" t="s">
        <v>2646</v>
      </c>
      <c r="H399" s="265" t="s">
        <v>2647</v>
      </c>
      <c r="I399" s="265" t="s">
        <v>146</v>
      </c>
      <c r="J399" s="269" t="s">
        <v>2648</v>
      </c>
      <c r="K399" s="342">
        <v>1070938659</v>
      </c>
      <c r="L399" s="282"/>
      <c r="M399" s="265" t="s">
        <v>2649</v>
      </c>
      <c r="N399" s="302" t="str">
        <f>MID(M399,5,3)</f>
        <v>IPU</v>
      </c>
      <c r="O399" s="265">
        <v>202200781</v>
      </c>
      <c r="P399" s="271"/>
      <c r="Q399" s="265" t="s">
        <v>3185</v>
      </c>
      <c r="R399" s="265"/>
      <c r="S399" s="265" t="s">
        <v>146</v>
      </c>
      <c r="T399" s="111" t="s">
        <v>40</v>
      </c>
      <c r="U399" s="269" t="s">
        <v>187</v>
      </c>
      <c r="V399" s="285">
        <v>44760</v>
      </c>
      <c r="W399" s="303" t="e">
        <f t="shared" si="169"/>
        <v>#VALUE!</v>
      </c>
      <c r="X399" s="303" t="e">
        <f t="shared" si="170"/>
        <v>#VALUE!</v>
      </c>
      <c r="Y399" s="265"/>
      <c r="Z399" s="265" t="s">
        <v>214</v>
      </c>
      <c r="AA399" s="265" t="s">
        <v>215</v>
      </c>
      <c r="AB399" s="272">
        <v>44895</v>
      </c>
      <c r="AC399" s="304" t="s">
        <v>4071</v>
      </c>
      <c r="AD399" s="272">
        <v>44924</v>
      </c>
      <c r="AE399" s="265"/>
      <c r="AF399" s="305" t="str">
        <f>+IF(AD399="","",TEXT(AD399,"mmm"))</f>
        <v>dic</v>
      </c>
      <c r="AG399" s="306">
        <f t="shared" si="171"/>
        <v>168</v>
      </c>
      <c r="AH399" s="307">
        <f t="shared" si="172"/>
        <v>164</v>
      </c>
      <c r="AI399" s="265"/>
      <c r="AJ399" s="265" t="s">
        <v>155</v>
      </c>
      <c r="AK399" s="265"/>
      <c r="AL399" s="265"/>
      <c r="AM399" s="309"/>
      <c r="AN399" s="269"/>
      <c r="AO399" s="265"/>
      <c r="AP399" s="309"/>
      <c r="AQ399" s="289"/>
      <c r="AR399" s="269"/>
      <c r="AS399" s="265"/>
      <c r="AT399" s="260"/>
      <c r="AU399" s="260"/>
      <c r="AV399" s="200"/>
      <c r="AW399" s="200"/>
      <c r="AX399" s="200"/>
      <c r="AY399" s="200"/>
      <c r="AZ399" s="139">
        <f t="shared" si="144"/>
        <v>1</v>
      </c>
      <c r="BA399" s="200"/>
      <c r="BB399" s="203"/>
      <c r="BC399" s="95"/>
      <c r="BD399" s="2"/>
      <c r="BE399" s="2"/>
    </row>
    <row r="400" spans="2:57" ht="43.9" customHeight="1" x14ac:dyDescent="0.25">
      <c r="B400" s="100">
        <f t="shared" si="143"/>
        <v>382</v>
      </c>
      <c r="C400" s="110" t="s">
        <v>2650</v>
      </c>
      <c r="D400" s="99" t="s">
        <v>359</v>
      </c>
      <c r="E400" s="189">
        <v>44756</v>
      </c>
      <c r="F400" s="268" t="s">
        <v>4437</v>
      </c>
      <c r="G400" s="96" t="s">
        <v>2651</v>
      </c>
      <c r="H400" s="96" t="s">
        <v>2652</v>
      </c>
      <c r="I400" s="96" t="s">
        <v>146</v>
      </c>
      <c r="J400" s="133" t="s">
        <v>2653</v>
      </c>
      <c r="K400" s="347">
        <v>261252154</v>
      </c>
      <c r="L400" s="188" t="s">
        <v>3742</v>
      </c>
      <c r="M400" s="99" t="s">
        <v>2654</v>
      </c>
      <c r="N400" s="99"/>
      <c r="O400" s="99">
        <v>202205139</v>
      </c>
      <c r="P400" s="202">
        <v>261252154</v>
      </c>
      <c r="Q400" s="96" t="s">
        <v>146</v>
      </c>
      <c r="R400" s="96" t="s">
        <v>146</v>
      </c>
      <c r="S400" s="99" t="s">
        <v>146</v>
      </c>
      <c r="T400" s="111" t="s">
        <v>43</v>
      </c>
      <c r="U400" s="96" t="s">
        <v>1363</v>
      </c>
      <c r="V400" s="192">
        <v>44761</v>
      </c>
      <c r="W400" s="186" t="e">
        <f t="shared" si="169"/>
        <v>#VALUE!</v>
      </c>
      <c r="X400" s="99" t="e">
        <f t="shared" si="170"/>
        <v>#VALUE!</v>
      </c>
      <c r="Y400" s="99" t="s">
        <v>1317</v>
      </c>
      <c r="Z400" s="99" t="s">
        <v>168</v>
      </c>
      <c r="AA400" s="99" t="s">
        <v>169</v>
      </c>
      <c r="AB400" s="96" t="s">
        <v>2655</v>
      </c>
      <c r="AC400" s="99"/>
      <c r="AD400" s="97">
        <v>44819</v>
      </c>
      <c r="AE400" s="183" t="s">
        <v>4262</v>
      </c>
      <c r="AF400" s="183"/>
      <c r="AG400" s="186">
        <f t="shared" si="171"/>
        <v>63</v>
      </c>
      <c r="AH400" s="187">
        <f t="shared" si="172"/>
        <v>58</v>
      </c>
      <c r="AI400" s="99" t="s">
        <v>258</v>
      </c>
      <c r="AJ400" s="96" t="s">
        <v>155</v>
      </c>
      <c r="AK400" s="99" t="s">
        <v>3743</v>
      </c>
      <c r="AL400" s="97">
        <v>44813</v>
      </c>
      <c r="AM400" s="204">
        <v>261252154</v>
      </c>
      <c r="AN400" s="96" t="s">
        <v>3744</v>
      </c>
      <c r="AO400" s="99"/>
      <c r="AP400" s="181">
        <f t="shared" ref="AP400:AP404" si="173">+K400-AM400</f>
        <v>0</v>
      </c>
      <c r="AQ400" s="193"/>
      <c r="AR400" s="193"/>
      <c r="AS400" s="99"/>
      <c r="AT400" s="99"/>
      <c r="AU400" s="193"/>
      <c r="AV400" s="99" t="s">
        <v>174</v>
      </c>
      <c r="AW400" s="99" t="s">
        <v>175</v>
      </c>
      <c r="AX400" s="96" t="s">
        <v>2394</v>
      </c>
      <c r="AY400" s="167">
        <f t="shared" ref="AY400:AY404" si="174">+AP400/K400</f>
        <v>0</v>
      </c>
      <c r="AZ400" s="139">
        <f t="shared" si="144"/>
        <v>0</v>
      </c>
      <c r="BA400" s="139">
        <f>IF(T400="Invitación Privada",1,IF(T400="Invitación Pública",2,0))</f>
        <v>1</v>
      </c>
      <c r="BB400" s="132">
        <f>IF(AA400="CONTRATADO",IF(BA400=1,NETWORKDAYS.INTL(E400,AD400,1,[1]FESTIVOS!$B$3:$B$10)-1,AD400-E400))-BD400</f>
        <v>45</v>
      </c>
      <c r="BD400" s="207"/>
      <c r="BE400" s="208"/>
    </row>
    <row r="401" spans="2:58" ht="43.9" customHeight="1" x14ac:dyDescent="0.25">
      <c r="B401" s="100">
        <f t="shared" si="143"/>
        <v>383</v>
      </c>
      <c r="C401" s="110" t="s">
        <v>2656</v>
      </c>
      <c r="D401" s="99" t="s">
        <v>28</v>
      </c>
      <c r="E401" s="189">
        <v>44757</v>
      </c>
      <c r="F401" s="268" t="s">
        <v>4437</v>
      </c>
      <c r="G401" s="191" t="s">
        <v>255</v>
      </c>
      <c r="H401" s="96" t="s">
        <v>1749</v>
      </c>
      <c r="I401" s="96" t="s">
        <v>146</v>
      </c>
      <c r="J401" s="96" t="s">
        <v>1750</v>
      </c>
      <c r="K401" s="344">
        <v>62022081</v>
      </c>
      <c r="L401" s="194" t="s">
        <v>3745</v>
      </c>
      <c r="M401" s="99" t="s">
        <v>2657</v>
      </c>
      <c r="N401" s="99"/>
      <c r="O401" s="99">
        <v>202201836</v>
      </c>
      <c r="P401" s="185">
        <v>69554145</v>
      </c>
      <c r="Q401" s="96" t="s">
        <v>146</v>
      </c>
      <c r="R401" s="96" t="s">
        <v>146</v>
      </c>
      <c r="S401" s="99" t="s">
        <v>146</v>
      </c>
      <c r="T401" s="111" t="s">
        <v>43</v>
      </c>
      <c r="U401" s="96" t="s">
        <v>452</v>
      </c>
      <c r="V401" s="192">
        <v>44757</v>
      </c>
      <c r="W401" s="186" t="e">
        <f t="shared" si="169"/>
        <v>#VALUE!</v>
      </c>
      <c r="X401" s="99" t="e">
        <f t="shared" si="170"/>
        <v>#VALUE!</v>
      </c>
      <c r="Y401" s="99" t="s">
        <v>1317</v>
      </c>
      <c r="Z401" s="99" t="s">
        <v>168</v>
      </c>
      <c r="AA401" s="99" t="s">
        <v>169</v>
      </c>
      <c r="AB401" s="96" t="s">
        <v>2658</v>
      </c>
      <c r="AC401" s="99"/>
      <c r="AD401" s="97">
        <v>44826</v>
      </c>
      <c r="AE401" s="183" t="s">
        <v>4262</v>
      </c>
      <c r="AF401" s="183"/>
      <c r="AG401" s="186">
        <f t="shared" si="171"/>
        <v>69</v>
      </c>
      <c r="AH401" s="187">
        <f t="shared" si="172"/>
        <v>69</v>
      </c>
      <c r="AI401" s="99" t="s">
        <v>2388</v>
      </c>
      <c r="AJ401" s="96" t="s">
        <v>171</v>
      </c>
      <c r="AK401" s="99" t="s">
        <v>3746</v>
      </c>
      <c r="AL401" s="97">
        <v>44817</v>
      </c>
      <c r="AM401" s="204">
        <v>62017508</v>
      </c>
      <c r="AN401" s="96" t="s">
        <v>3008</v>
      </c>
      <c r="AO401" s="99">
        <v>202208577</v>
      </c>
      <c r="AP401" s="181">
        <f t="shared" si="173"/>
        <v>4573</v>
      </c>
      <c r="AQ401" s="193"/>
      <c r="AR401" s="193"/>
      <c r="AS401" s="99"/>
      <c r="AT401" s="99"/>
      <c r="AU401" s="193"/>
      <c r="AV401" s="99" t="s">
        <v>174</v>
      </c>
      <c r="AW401" s="99" t="s">
        <v>175</v>
      </c>
      <c r="AX401" s="96" t="s">
        <v>2382</v>
      </c>
      <c r="AY401" s="167">
        <f t="shared" si="174"/>
        <v>7.3731805290441646E-5</v>
      </c>
      <c r="AZ401" s="139">
        <f t="shared" si="144"/>
        <v>1</v>
      </c>
      <c r="BA401" s="139">
        <f>IF(T401="Invitación Privada",1,IF(T401="Invitación Pública",2,0))</f>
        <v>1</v>
      </c>
      <c r="BB401" s="132">
        <f>IF(AA401="CONTRATADO",IF(BA401=1,NETWORKDAYS.INTL(E401,AD401,1,[1]FESTIVOS!$B$3:$B$10)-1,AD401-E401))-BD401</f>
        <v>49</v>
      </c>
      <c r="BD401" s="207"/>
      <c r="BE401" s="208"/>
    </row>
    <row r="402" spans="2:58" ht="43.9" customHeight="1" x14ac:dyDescent="0.25">
      <c r="B402" s="100">
        <f t="shared" si="143"/>
        <v>384</v>
      </c>
      <c r="C402" s="110" t="s">
        <v>2659</v>
      </c>
      <c r="D402" s="99" t="s">
        <v>32</v>
      </c>
      <c r="E402" s="189">
        <v>44757</v>
      </c>
      <c r="F402" s="268" t="s">
        <v>4437</v>
      </c>
      <c r="G402" s="96" t="s">
        <v>2660</v>
      </c>
      <c r="H402" s="96" t="s">
        <v>2661</v>
      </c>
      <c r="I402" s="96" t="s">
        <v>146</v>
      </c>
      <c r="J402" s="133" t="s">
        <v>2662</v>
      </c>
      <c r="K402" s="344">
        <v>1300000000</v>
      </c>
      <c r="L402" s="188" t="s">
        <v>3025</v>
      </c>
      <c r="M402" s="99" t="s">
        <v>2663</v>
      </c>
      <c r="N402" s="99"/>
      <c r="O402" s="99">
        <v>202204406</v>
      </c>
      <c r="P402" s="190">
        <v>1300000000</v>
      </c>
      <c r="Q402" s="96" t="s">
        <v>146</v>
      </c>
      <c r="R402" s="96" t="s">
        <v>146</v>
      </c>
      <c r="S402" s="99" t="s">
        <v>146</v>
      </c>
      <c r="T402" s="111" t="s">
        <v>40</v>
      </c>
      <c r="U402" s="96" t="s">
        <v>312</v>
      </c>
      <c r="V402" s="192">
        <v>44760</v>
      </c>
      <c r="W402" s="186" t="e">
        <f t="shared" si="169"/>
        <v>#VALUE!</v>
      </c>
      <c r="X402" s="99" t="e">
        <f t="shared" si="170"/>
        <v>#VALUE!</v>
      </c>
      <c r="Y402" s="99" t="s">
        <v>1317</v>
      </c>
      <c r="Z402" s="99" t="s">
        <v>168</v>
      </c>
      <c r="AA402" s="99" t="s">
        <v>169</v>
      </c>
      <c r="AB402" s="96" t="s">
        <v>2664</v>
      </c>
      <c r="AC402" s="99"/>
      <c r="AD402" s="97">
        <v>44823</v>
      </c>
      <c r="AE402" s="183" t="s">
        <v>4262</v>
      </c>
      <c r="AF402" s="183"/>
      <c r="AG402" s="186">
        <f t="shared" si="171"/>
        <v>66</v>
      </c>
      <c r="AH402" s="187">
        <f t="shared" si="172"/>
        <v>63</v>
      </c>
      <c r="AI402" s="194" t="s">
        <v>146</v>
      </c>
      <c r="AJ402" s="96" t="s">
        <v>155</v>
      </c>
      <c r="AK402" s="99" t="s">
        <v>3747</v>
      </c>
      <c r="AL402" s="97">
        <v>44819</v>
      </c>
      <c r="AM402" s="204">
        <v>1299859708</v>
      </c>
      <c r="AN402" s="96" t="s">
        <v>3448</v>
      </c>
      <c r="AO402" s="99">
        <v>202208491</v>
      </c>
      <c r="AP402" s="181">
        <f t="shared" si="173"/>
        <v>140292</v>
      </c>
      <c r="AQ402" s="193"/>
      <c r="AR402" s="193"/>
      <c r="AS402" s="99"/>
      <c r="AT402" s="99"/>
      <c r="AU402" s="193"/>
      <c r="AV402" s="99" t="s">
        <v>1000</v>
      </c>
      <c r="AW402" s="99" t="s">
        <v>692</v>
      </c>
      <c r="AX402" s="96" t="s">
        <v>2379</v>
      </c>
      <c r="AY402" s="167">
        <f t="shared" si="174"/>
        <v>1.0791692307692307E-4</v>
      </c>
      <c r="AZ402" s="139">
        <f t="shared" si="144"/>
        <v>1</v>
      </c>
      <c r="BA402" s="139">
        <f>IF(T402="Invitación Privada",1,IF(T402="Invitación Pública",2,0))</f>
        <v>2</v>
      </c>
      <c r="BB402" s="132">
        <f>IF(AA402="CONTRATADO",IF(BA402=1,NETWORKDAYS.INTL(E402,AD402,1,[1]FESTIVOS!$B$3:$B$10)-1,AD402-E402))-BD402</f>
        <v>66</v>
      </c>
      <c r="BD402" s="207"/>
      <c r="BE402" s="208"/>
      <c r="BF402" s="76"/>
    </row>
    <row r="403" spans="2:58" ht="43.9" customHeight="1" x14ac:dyDescent="0.25">
      <c r="B403" s="100">
        <f t="shared" si="143"/>
        <v>385</v>
      </c>
      <c r="C403" s="110" t="s">
        <v>2665</v>
      </c>
      <c r="D403" s="99" t="s">
        <v>28</v>
      </c>
      <c r="E403" s="189">
        <v>44760</v>
      </c>
      <c r="F403" s="268" t="s">
        <v>4437</v>
      </c>
      <c r="G403" s="191" t="s">
        <v>2666</v>
      </c>
      <c r="H403" s="96" t="s">
        <v>1652</v>
      </c>
      <c r="I403" s="96" t="s">
        <v>146</v>
      </c>
      <c r="J403" s="133" t="s">
        <v>1653</v>
      </c>
      <c r="K403" s="344">
        <v>29720250</v>
      </c>
      <c r="L403" s="194" t="s">
        <v>3025</v>
      </c>
      <c r="M403" s="99" t="s">
        <v>2667</v>
      </c>
      <c r="N403" s="99"/>
      <c r="O403" s="99">
        <v>202200893</v>
      </c>
      <c r="P403" s="185">
        <v>30000000</v>
      </c>
      <c r="Q403" s="96" t="s">
        <v>146</v>
      </c>
      <c r="R403" s="96" t="s">
        <v>146</v>
      </c>
      <c r="S403" s="99" t="s">
        <v>146</v>
      </c>
      <c r="T403" s="111" t="s">
        <v>43</v>
      </c>
      <c r="U403" s="96" t="s">
        <v>572</v>
      </c>
      <c r="V403" s="192">
        <v>44760</v>
      </c>
      <c r="W403" s="186" t="e">
        <f t="shared" si="169"/>
        <v>#VALUE!</v>
      </c>
      <c r="X403" s="99" t="e">
        <f t="shared" si="170"/>
        <v>#VALUE!</v>
      </c>
      <c r="Y403" s="99" t="s">
        <v>1317</v>
      </c>
      <c r="Z403" s="99" t="s">
        <v>168</v>
      </c>
      <c r="AA403" s="99" t="s">
        <v>169</v>
      </c>
      <c r="AB403" s="96" t="s">
        <v>2668</v>
      </c>
      <c r="AC403" s="99"/>
      <c r="AD403" s="97">
        <v>44817</v>
      </c>
      <c r="AE403" s="183" t="s">
        <v>4262</v>
      </c>
      <c r="AF403" s="183"/>
      <c r="AG403" s="186">
        <f t="shared" si="171"/>
        <v>57</v>
      </c>
      <c r="AH403" s="187">
        <f t="shared" si="172"/>
        <v>57</v>
      </c>
      <c r="AI403" s="99" t="s">
        <v>258</v>
      </c>
      <c r="AJ403" s="96" t="s">
        <v>171</v>
      </c>
      <c r="AK403" s="99" t="s">
        <v>3748</v>
      </c>
      <c r="AL403" s="97">
        <v>44806</v>
      </c>
      <c r="AM403" s="204">
        <v>29720250</v>
      </c>
      <c r="AN403" s="96" t="s">
        <v>3749</v>
      </c>
      <c r="AO403" s="99">
        <v>202208289</v>
      </c>
      <c r="AP403" s="181">
        <f t="shared" si="173"/>
        <v>0</v>
      </c>
      <c r="AQ403" s="193"/>
      <c r="AR403" s="193"/>
      <c r="AS403" s="99"/>
      <c r="AT403" s="99"/>
      <c r="AU403" s="193"/>
      <c r="AV403" s="99" t="s">
        <v>174</v>
      </c>
      <c r="AW403" s="99" t="s">
        <v>175</v>
      </c>
      <c r="AX403" s="96" t="s">
        <v>2379</v>
      </c>
      <c r="AY403" s="167">
        <f t="shared" si="174"/>
        <v>0</v>
      </c>
      <c r="AZ403" s="139">
        <f t="shared" si="144"/>
        <v>1</v>
      </c>
      <c r="BA403" s="139">
        <f>IF(T403="Invitación Privada",1,IF(T403="Invitación Pública",2,0))</f>
        <v>1</v>
      </c>
      <c r="BB403" s="132">
        <f>IF(AA403="CONTRATADO",IF(BA403=1,NETWORKDAYS.INTL(E403,AD403,1,[1]FESTIVOS!$B$3:$B$10)-1,AD403-E403))-BD403</f>
        <v>41</v>
      </c>
      <c r="BD403" s="207">
        <v>0</v>
      </c>
      <c r="BE403" s="208" t="s">
        <v>3900</v>
      </c>
    </row>
    <row r="404" spans="2:58" ht="43.9" customHeight="1" x14ac:dyDescent="0.25">
      <c r="B404" s="100">
        <f t="shared" ref="B404:B467" si="175">+B403+1</f>
        <v>386</v>
      </c>
      <c r="C404" s="110" t="s">
        <v>2669</v>
      </c>
      <c r="D404" s="99" t="s">
        <v>28</v>
      </c>
      <c r="E404" s="189">
        <v>44760</v>
      </c>
      <c r="F404" s="268" t="s">
        <v>4437</v>
      </c>
      <c r="G404" s="96" t="s">
        <v>2670</v>
      </c>
      <c r="H404" s="96" t="s">
        <v>1462</v>
      </c>
      <c r="I404" s="96" t="s">
        <v>146</v>
      </c>
      <c r="J404" s="133" t="s">
        <v>1463</v>
      </c>
      <c r="K404" s="344">
        <v>357050595</v>
      </c>
      <c r="L404" s="204">
        <v>309233400</v>
      </c>
      <c r="M404" s="194" t="s">
        <v>3884</v>
      </c>
      <c r="N404" s="194"/>
      <c r="O404" s="99">
        <v>202202753</v>
      </c>
      <c r="P404" s="190">
        <v>495000000</v>
      </c>
      <c r="Q404" s="96" t="s">
        <v>146</v>
      </c>
      <c r="R404" s="96" t="s">
        <v>146</v>
      </c>
      <c r="S404" s="99" t="s">
        <v>146</v>
      </c>
      <c r="T404" s="111" t="s">
        <v>43</v>
      </c>
      <c r="U404" s="96" t="s">
        <v>312</v>
      </c>
      <c r="V404" s="192">
        <v>44778</v>
      </c>
      <c r="W404" s="186" t="e">
        <f t="shared" si="169"/>
        <v>#VALUE!</v>
      </c>
      <c r="X404" s="99" t="e">
        <f t="shared" si="170"/>
        <v>#VALUE!</v>
      </c>
      <c r="Y404" s="99" t="s">
        <v>1317</v>
      </c>
      <c r="Z404" s="99" t="s">
        <v>168</v>
      </c>
      <c r="AA404" s="99" t="s">
        <v>169</v>
      </c>
      <c r="AB404" s="96" t="s">
        <v>2671</v>
      </c>
      <c r="AC404" s="99"/>
      <c r="AD404" s="97">
        <v>44824</v>
      </c>
      <c r="AE404" s="183" t="s">
        <v>4262</v>
      </c>
      <c r="AF404" s="183"/>
      <c r="AG404" s="186">
        <f t="shared" si="171"/>
        <v>64</v>
      </c>
      <c r="AH404" s="187">
        <f t="shared" si="172"/>
        <v>46</v>
      </c>
      <c r="AI404" s="99" t="s">
        <v>258</v>
      </c>
      <c r="AJ404" s="96" t="s">
        <v>171</v>
      </c>
      <c r="AK404" s="99" t="s">
        <v>3750</v>
      </c>
      <c r="AL404" s="97">
        <v>44817</v>
      </c>
      <c r="AM404" s="204">
        <v>309233400</v>
      </c>
      <c r="AN404" s="96" t="s">
        <v>3751</v>
      </c>
      <c r="AO404" s="99"/>
      <c r="AP404" s="181">
        <f t="shared" si="173"/>
        <v>47817195</v>
      </c>
      <c r="AQ404" s="193"/>
      <c r="AR404" s="193"/>
      <c r="AS404" s="99"/>
      <c r="AT404" s="99"/>
      <c r="AU404" s="193"/>
      <c r="AV404" s="99"/>
      <c r="AW404" s="99"/>
      <c r="AX404" s="96" t="s">
        <v>2384</v>
      </c>
      <c r="AY404" s="167">
        <f t="shared" si="174"/>
        <v>0.13392274279783795</v>
      </c>
      <c r="AZ404" s="139">
        <f t="shared" si="144"/>
        <v>1</v>
      </c>
      <c r="BA404" s="139">
        <f>IF(T404="Invitación Privada",1,IF(T404="Invitación Pública",2,0))</f>
        <v>1</v>
      </c>
      <c r="BB404" s="132">
        <f>IF(AA404="CONTRATADO",IF(BA404=1,NETWORKDAYS.INTL(E404,AD404,1,[1]FESTIVOS!$B$3:$B$10)-1,AD404-E404))-BD404</f>
        <v>39</v>
      </c>
      <c r="BD404" s="207">
        <v>7</v>
      </c>
      <c r="BE404" s="208" t="s">
        <v>3903</v>
      </c>
    </row>
    <row r="405" spans="2:58" ht="43.9" customHeight="1" x14ac:dyDescent="0.25">
      <c r="B405" s="100">
        <f t="shared" si="175"/>
        <v>387</v>
      </c>
      <c r="C405" s="293" t="s">
        <v>2672</v>
      </c>
      <c r="D405" s="265" t="s">
        <v>332</v>
      </c>
      <c r="E405" s="272">
        <v>44760</v>
      </c>
      <c r="F405" s="268" t="s">
        <v>4437</v>
      </c>
      <c r="G405" s="269" t="s">
        <v>2673</v>
      </c>
      <c r="H405" s="265" t="s">
        <v>2674</v>
      </c>
      <c r="I405" s="265" t="s">
        <v>146</v>
      </c>
      <c r="J405" s="269" t="s">
        <v>2675</v>
      </c>
      <c r="K405" s="342">
        <v>1064136000</v>
      </c>
      <c r="L405" s="282"/>
      <c r="M405" s="265" t="s">
        <v>3540</v>
      </c>
      <c r="N405" s="302" t="str">
        <f>MID(M405,5,3)</f>
        <v>IP-</v>
      </c>
      <c r="O405" s="265" t="s">
        <v>2676</v>
      </c>
      <c r="P405" s="271"/>
      <c r="Q405" s="265" t="s">
        <v>146</v>
      </c>
      <c r="R405" s="265" t="s">
        <v>146</v>
      </c>
      <c r="S405" s="265" t="s">
        <v>146</v>
      </c>
      <c r="T405" s="111" t="s">
        <v>43</v>
      </c>
      <c r="U405" s="269" t="s">
        <v>777</v>
      </c>
      <c r="V405" s="285">
        <v>44776</v>
      </c>
      <c r="W405" s="303" t="e">
        <f t="shared" si="169"/>
        <v>#VALUE!</v>
      </c>
      <c r="X405" s="303" t="e">
        <f t="shared" si="170"/>
        <v>#VALUE!</v>
      </c>
      <c r="Y405" s="265" t="s">
        <v>1300</v>
      </c>
      <c r="Z405" s="265" t="s">
        <v>214</v>
      </c>
      <c r="AA405" s="265" t="s">
        <v>215</v>
      </c>
      <c r="AB405" s="265"/>
      <c r="AC405" s="304" t="s">
        <v>3922</v>
      </c>
      <c r="AD405" s="272">
        <v>44819</v>
      </c>
      <c r="AE405" s="272"/>
      <c r="AF405" s="305" t="str">
        <f>+IF(AD405="","",TEXT(AD405,"mmm"))</f>
        <v>sep</v>
      </c>
      <c r="AG405" s="306">
        <f t="shared" si="171"/>
        <v>59</v>
      </c>
      <c r="AH405" s="307">
        <f t="shared" si="172"/>
        <v>43</v>
      </c>
      <c r="AI405" s="265" t="s">
        <v>2388</v>
      </c>
      <c r="AJ405" s="265" t="s">
        <v>171</v>
      </c>
      <c r="AK405" s="265"/>
      <c r="AL405" s="265"/>
      <c r="AM405" s="309"/>
      <c r="AN405" s="269"/>
      <c r="AO405" s="265"/>
      <c r="AP405" s="309"/>
      <c r="AQ405" s="289"/>
      <c r="AR405" s="269"/>
      <c r="AS405" s="265"/>
      <c r="AT405" s="260"/>
      <c r="AU405" s="260"/>
      <c r="AV405" s="200"/>
      <c r="AW405" s="200"/>
      <c r="AX405" s="200"/>
      <c r="AY405" s="200"/>
      <c r="AZ405" s="139">
        <f t="shared" si="144"/>
        <v>0</v>
      </c>
      <c r="BA405" s="200"/>
      <c r="BB405" s="203"/>
      <c r="BC405" s="95"/>
      <c r="BD405" s="2"/>
      <c r="BE405" s="2"/>
    </row>
    <row r="406" spans="2:58" ht="43.9" customHeight="1" x14ac:dyDescent="0.25">
      <c r="B406" s="100">
        <f t="shared" si="175"/>
        <v>388</v>
      </c>
      <c r="C406" s="110" t="s">
        <v>2678</v>
      </c>
      <c r="D406" s="99" t="s">
        <v>332</v>
      </c>
      <c r="E406" s="189">
        <v>44760</v>
      </c>
      <c r="F406" s="268" t="s">
        <v>4437</v>
      </c>
      <c r="G406" s="96" t="s">
        <v>2679</v>
      </c>
      <c r="H406" s="96" t="s">
        <v>2680</v>
      </c>
      <c r="I406" s="96" t="s">
        <v>146</v>
      </c>
      <c r="J406" s="96" t="s">
        <v>2681</v>
      </c>
      <c r="K406" s="344">
        <v>1691000000</v>
      </c>
      <c r="L406" s="96" t="s">
        <v>3752</v>
      </c>
      <c r="M406" s="96" t="s">
        <v>3753</v>
      </c>
      <c r="N406" s="96"/>
      <c r="O406" s="99" t="s">
        <v>2682</v>
      </c>
      <c r="P406" s="185"/>
      <c r="Q406" s="96" t="s">
        <v>146</v>
      </c>
      <c r="R406" s="96" t="s">
        <v>146</v>
      </c>
      <c r="S406" s="99" t="s">
        <v>146</v>
      </c>
      <c r="T406" s="111" t="s">
        <v>43</v>
      </c>
      <c r="U406" s="96" t="s">
        <v>777</v>
      </c>
      <c r="V406" s="192">
        <v>44761</v>
      </c>
      <c r="W406" s="186" t="e">
        <f t="shared" si="169"/>
        <v>#VALUE!</v>
      </c>
      <c r="X406" s="99" t="e">
        <f t="shared" si="170"/>
        <v>#VALUE!</v>
      </c>
      <c r="Y406" s="99" t="s">
        <v>1317</v>
      </c>
      <c r="Z406" s="99" t="s">
        <v>168</v>
      </c>
      <c r="AA406" s="99" t="s">
        <v>169</v>
      </c>
      <c r="AB406" s="96" t="s">
        <v>2677</v>
      </c>
      <c r="AC406" s="99"/>
      <c r="AD406" s="97">
        <v>44825</v>
      </c>
      <c r="AE406" s="183" t="s">
        <v>4262</v>
      </c>
      <c r="AF406" s="183"/>
      <c r="AG406" s="186">
        <f t="shared" si="171"/>
        <v>65</v>
      </c>
      <c r="AH406" s="187">
        <f t="shared" si="172"/>
        <v>64</v>
      </c>
      <c r="AI406" s="99" t="s">
        <v>241</v>
      </c>
      <c r="AJ406" s="96" t="s">
        <v>171</v>
      </c>
      <c r="AK406" s="99" t="s">
        <v>3754</v>
      </c>
      <c r="AL406" s="97">
        <v>44819</v>
      </c>
      <c r="AM406" s="204">
        <v>1691000000</v>
      </c>
      <c r="AN406" s="96" t="s">
        <v>3755</v>
      </c>
      <c r="AO406" s="99">
        <v>202208490</v>
      </c>
      <c r="AP406" s="181">
        <f t="shared" ref="AP406:AP408" si="176">+K406-AM406</f>
        <v>0</v>
      </c>
      <c r="AQ406" s="193"/>
      <c r="AR406" s="193"/>
      <c r="AS406" s="99"/>
      <c r="AT406" s="99"/>
      <c r="AU406" s="193"/>
      <c r="AV406" s="99"/>
      <c r="AW406" s="99"/>
      <c r="AX406" s="96" t="s">
        <v>2385</v>
      </c>
      <c r="AY406" s="167">
        <f t="shared" ref="AY406:AY408" si="177">+AP406/K406</f>
        <v>0</v>
      </c>
      <c r="AZ406" s="139">
        <f t="shared" ref="AZ406:AZ469" si="178">IF(D406="GUENAA",1,IF(D406="GUENE",1,IF(D406="GUENT",1,0)))</f>
        <v>0</v>
      </c>
      <c r="BA406" s="139">
        <f>IF(T406="Invitación Privada",1,IF(T406="Invitación Pública",2,0))</f>
        <v>1</v>
      </c>
      <c r="BB406" s="132">
        <f>IF(AA406="CONTRATADO",IF(BA406=1,NETWORKDAYS.INTL(E406,AD406,1,[1]FESTIVOS!$B$3:$B$10)-1,AD406-E406))-BD406</f>
        <v>47</v>
      </c>
    </row>
    <row r="407" spans="2:58" ht="43.9" customHeight="1" x14ac:dyDescent="0.25">
      <c r="B407" s="100">
        <f t="shared" si="175"/>
        <v>389</v>
      </c>
      <c r="C407" s="110" t="s">
        <v>2683</v>
      </c>
      <c r="D407" s="99" t="s">
        <v>332</v>
      </c>
      <c r="E407" s="189">
        <v>44760</v>
      </c>
      <c r="F407" s="268" t="s">
        <v>4437</v>
      </c>
      <c r="G407" s="96" t="s">
        <v>2684</v>
      </c>
      <c r="H407" s="96" t="s">
        <v>2685</v>
      </c>
      <c r="I407" s="96" t="s">
        <v>146</v>
      </c>
      <c r="J407" s="96" t="s">
        <v>2686</v>
      </c>
      <c r="K407" s="344">
        <v>19602280</v>
      </c>
      <c r="L407" s="96" t="s">
        <v>3025</v>
      </c>
      <c r="M407" s="96" t="s">
        <v>3965</v>
      </c>
      <c r="N407" s="96"/>
      <c r="O407" s="99" t="s">
        <v>2687</v>
      </c>
      <c r="P407" s="185"/>
      <c r="Q407" s="96" t="s">
        <v>146</v>
      </c>
      <c r="R407" s="96" t="s">
        <v>146</v>
      </c>
      <c r="S407" s="99" t="s">
        <v>146</v>
      </c>
      <c r="T407" s="111" t="s">
        <v>43</v>
      </c>
      <c r="U407" s="96" t="s">
        <v>777</v>
      </c>
      <c r="V407" s="192">
        <v>44761</v>
      </c>
      <c r="W407" s="186">
        <v>113</v>
      </c>
      <c r="X407" s="99">
        <v>112</v>
      </c>
      <c r="Y407" s="99" t="s">
        <v>1317</v>
      </c>
      <c r="Z407" s="99" t="s">
        <v>168</v>
      </c>
      <c r="AA407" s="99" t="s">
        <v>169</v>
      </c>
      <c r="AB407" s="96" t="s">
        <v>3553</v>
      </c>
      <c r="AC407" s="96"/>
      <c r="AD407" s="97">
        <v>44840</v>
      </c>
      <c r="AE407" s="183" t="s">
        <v>4271</v>
      </c>
      <c r="AF407" s="186">
        <v>80</v>
      </c>
      <c r="AG407" s="186"/>
      <c r="AH407" s="187">
        <v>79</v>
      </c>
      <c r="AI407" s="99" t="s">
        <v>258</v>
      </c>
      <c r="AJ407" s="96" t="s">
        <v>171</v>
      </c>
      <c r="AK407" s="99" t="s">
        <v>3966</v>
      </c>
      <c r="AL407" s="97">
        <v>44819</v>
      </c>
      <c r="AM407" s="204">
        <v>19400000</v>
      </c>
      <c r="AN407" s="99" t="s">
        <v>357</v>
      </c>
      <c r="AO407" s="99">
        <v>202208531</v>
      </c>
      <c r="AP407" s="181">
        <f t="shared" si="176"/>
        <v>202280</v>
      </c>
      <c r="AQ407" s="99" t="s">
        <v>174</v>
      </c>
      <c r="AR407" s="99" t="s">
        <v>175</v>
      </c>
      <c r="AS407" s="203"/>
      <c r="AT407" s="200"/>
      <c r="AU407" s="200"/>
      <c r="AV407" s="260"/>
      <c r="AW407" s="260"/>
      <c r="AX407" s="260"/>
      <c r="AY407" s="167">
        <f t="shared" si="177"/>
        <v>1.0319207765627263E-2</v>
      </c>
      <c r="AZ407" s="139">
        <f t="shared" si="178"/>
        <v>0</v>
      </c>
      <c r="BA407" s="139">
        <f>IF(T407="Invitación Privada",1,IF(T407="Invitación Pública",2,0))</f>
        <v>1</v>
      </c>
      <c r="BB407" s="132">
        <f>IF(AA407="CONTRATADO",IF(BA407=1,NETWORKDAYS.INTL(E407,AD407,1,[1]FESTIVOS!$B$3:$B$10)-1,AD407-E407))-BD407</f>
        <v>58</v>
      </c>
      <c r="BD407" s="207">
        <v>0</v>
      </c>
      <c r="BE407" s="208"/>
    </row>
    <row r="408" spans="2:58" ht="43.9" customHeight="1" x14ac:dyDescent="0.25">
      <c r="B408" s="100">
        <f t="shared" si="175"/>
        <v>390</v>
      </c>
      <c r="C408" s="110" t="s">
        <v>2688</v>
      </c>
      <c r="D408" s="99" t="s">
        <v>33</v>
      </c>
      <c r="E408" s="189">
        <v>44760</v>
      </c>
      <c r="F408" s="268" t="s">
        <v>4437</v>
      </c>
      <c r="G408" s="96" t="s">
        <v>2689</v>
      </c>
      <c r="H408" s="96" t="s">
        <v>2690</v>
      </c>
      <c r="I408" s="96" t="s">
        <v>146</v>
      </c>
      <c r="J408" s="96" t="s">
        <v>2691</v>
      </c>
      <c r="K408" s="344">
        <v>3451000</v>
      </c>
      <c r="L408" s="96" t="s">
        <v>3025</v>
      </c>
      <c r="M408" s="99" t="s">
        <v>2692</v>
      </c>
      <c r="N408" s="99"/>
      <c r="O408" s="99">
        <v>202205066</v>
      </c>
      <c r="P408" s="190">
        <v>3451000</v>
      </c>
      <c r="Q408" s="96" t="s">
        <v>146</v>
      </c>
      <c r="R408" s="96" t="s">
        <v>146</v>
      </c>
      <c r="S408" s="99" t="s">
        <v>146</v>
      </c>
      <c r="T408" s="111" t="s">
        <v>43</v>
      </c>
      <c r="U408" s="96" t="s">
        <v>572</v>
      </c>
      <c r="V408" s="192">
        <v>44763</v>
      </c>
      <c r="W408" s="186">
        <v>113</v>
      </c>
      <c r="X408" s="99">
        <v>110</v>
      </c>
      <c r="Y408" s="99" t="s">
        <v>1755</v>
      </c>
      <c r="Z408" s="99" t="s">
        <v>168</v>
      </c>
      <c r="AA408" s="99" t="s">
        <v>169</v>
      </c>
      <c r="AB408" s="96" t="s">
        <v>2693</v>
      </c>
      <c r="AC408" s="96"/>
      <c r="AD408" s="97">
        <v>44846</v>
      </c>
      <c r="AE408" s="183" t="s">
        <v>4271</v>
      </c>
      <c r="AF408" s="186">
        <v>86</v>
      </c>
      <c r="AG408" s="186"/>
      <c r="AH408" s="187">
        <v>83</v>
      </c>
      <c r="AI408" s="99" t="s">
        <v>258</v>
      </c>
      <c r="AJ408" s="96" t="s">
        <v>171</v>
      </c>
      <c r="AK408" s="99" t="s">
        <v>3967</v>
      </c>
      <c r="AL408" s="97">
        <v>44803</v>
      </c>
      <c r="AM408" s="204">
        <v>3451000</v>
      </c>
      <c r="AN408" s="99" t="s">
        <v>3968</v>
      </c>
      <c r="AO408" s="99">
        <v>202208014</v>
      </c>
      <c r="AP408" s="181">
        <f t="shared" si="176"/>
        <v>0</v>
      </c>
      <c r="AQ408" s="99" t="s">
        <v>1010</v>
      </c>
      <c r="AR408" s="99" t="s">
        <v>692</v>
      </c>
      <c r="AS408" s="203"/>
      <c r="AT408" s="200"/>
      <c r="AU408" s="200"/>
      <c r="AV408" s="260"/>
      <c r="AW408" s="260"/>
      <c r="AX408" s="260"/>
      <c r="AY408" s="167">
        <f t="shared" si="177"/>
        <v>0</v>
      </c>
      <c r="AZ408" s="139">
        <f t="shared" si="178"/>
        <v>1</v>
      </c>
      <c r="BA408" s="139">
        <f>IF(T408="Invitación Privada",1,IF(T408="Invitación Pública",2,0))</f>
        <v>1</v>
      </c>
      <c r="BB408" s="132">
        <f>IF(AA408="CONTRATADO",IF(BA408=1,NETWORKDAYS.INTL(E408,AD408,1,[1]FESTIVOS!$B$3:$B$10)-1,AD408-E408))-BD408</f>
        <v>57</v>
      </c>
      <c r="BD408" s="207">
        <v>5</v>
      </c>
      <c r="BE408" s="208" t="s">
        <v>3990</v>
      </c>
    </row>
    <row r="409" spans="2:58" ht="43.9" customHeight="1" x14ac:dyDescent="0.25">
      <c r="B409" s="100">
        <f t="shared" si="175"/>
        <v>391</v>
      </c>
      <c r="C409" s="293" t="s">
        <v>2428</v>
      </c>
      <c r="D409" s="265" t="s">
        <v>1559</v>
      </c>
      <c r="E409" s="272">
        <v>44760</v>
      </c>
      <c r="F409" s="268" t="s">
        <v>4437</v>
      </c>
      <c r="G409" s="269" t="s">
        <v>2429</v>
      </c>
      <c r="H409" s="265" t="s">
        <v>2430</v>
      </c>
      <c r="I409" s="265" t="s">
        <v>146</v>
      </c>
      <c r="J409" s="269" t="s">
        <v>2431</v>
      </c>
      <c r="K409" s="342">
        <v>129108545</v>
      </c>
      <c r="L409" s="282"/>
      <c r="M409" s="265" t="s">
        <v>2432</v>
      </c>
      <c r="N409" s="302" t="str">
        <f>MID(M409,5,3)</f>
        <v>IP-</v>
      </c>
      <c r="O409" s="265">
        <v>202205066</v>
      </c>
      <c r="P409" s="271"/>
      <c r="Q409" s="265" t="s">
        <v>146</v>
      </c>
      <c r="R409" s="265" t="s">
        <v>146</v>
      </c>
      <c r="S409" s="265" t="s">
        <v>146</v>
      </c>
      <c r="T409" s="111" t="s">
        <v>43</v>
      </c>
      <c r="U409" s="269" t="s">
        <v>1904</v>
      </c>
      <c r="V409" s="285">
        <v>44761</v>
      </c>
      <c r="W409" s="303" t="e">
        <f>+$D$4-E409</f>
        <v>#VALUE!</v>
      </c>
      <c r="X409" s="303" t="e">
        <f>$D$4-V409</f>
        <v>#VALUE!</v>
      </c>
      <c r="Y409" s="265" t="s">
        <v>1300</v>
      </c>
      <c r="Z409" s="265" t="s">
        <v>214</v>
      </c>
      <c r="AA409" s="265" t="s">
        <v>215</v>
      </c>
      <c r="AB409" s="265"/>
      <c r="AC409" s="304" t="s">
        <v>2433</v>
      </c>
      <c r="AD409" s="272">
        <v>44900</v>
      </c>
      <c r="AE409" s="265"/>
      <c r="AF409" s="305" t="str">
        <f>+IF(AD409="","",TEXT(AD409,"mmm"))</f>
        <v>dic</v>
      </c>
      <c r="AG409" s="306">
        <f>+AD409-E409</f>
        <v>140</v>
      </c>
      <c r="AH409" s="307">
        <f>+AD409-V409</f>
        <v>139</v>
      </c>
      <c r="AI409" s="265"/>
      <c r="AJ409" s="265" t="s">
        <v>171</v>
      </c>
      <c r="AK409" s="265"/>
      <c r="AL409" s="265"/>
      <c r="AM409" s="309"/>
      <c r="AN409" s="269"/>
      <c r="AO409" s="265"/>
      <c r="AP409" s="309"/>
      <c r="AQ409" s="289"/>
      <c r="AR409" s="269"/>
      <c r="AS409" s="265"/>
      <c r="AT409" s="260"/>
      <c r="AU409" s="260"/>
      <c r="AV409" s="200"/>
      <c r="AW409" s="200"/>
      <c r="AX409" s="200"/>
      <c r="AY409" s="200"/>
      <c r="AZ409" s="139">
        <f t="shared" si="178"/>
        <v>0</v>
      </c>
      <c r="BA409" s="200"/>
      <c r="BB409" s="203"/>
      <c r="BC409" s="95"/>
      <c r="BD409" s="2"/>
      <c r="BE409" s="2"/>
    </row>
    <row r="410" spans="2:58" ht="43.9" customHeight="1" x14ac:dyDescent="0.25">
      <c r="B410" s="100">
        <f t="shared" si="175"/>
        <v>392</v>
      </c>
      <c r="C410" s="110" t="s">
        <v>2694</v>
      </c>
      <c r="D410" s="99" t="s">
        <v>332</v>
      </c>
      <c r="E410" s="189">
        <v>44761</v>
      </c>
      <c r="F410" s="268" t="s">
        <v>4437</v>
      </c>
      <c r="G410" s="269" t="s">
        <v>3969</v>
      </c>
      <c r="H410" s="96" t="s">
        <v>2695</v>
      </c>
      <c r="I410" s="96" t="s">
        <v>146</v>
      </c>
      <c r="J410" s="96" t="s">
        <v>2696</v>
      </c>
      <c r="K410" s="344">
        <v>226560000</v>
      </c>
      <c r="L410" s="188" t="s">
        <v>3025</v>
      </c>
      <c r="M410" s="96" t="s">
        <v>2697</v>
      </c>
      <c r="N410" s="96"/>
      <c r="O410" s="99" t="s">
        <v>2698</v>
      </c>
      <c r="P410" s="190">
        <v>226560000</v>
      </c>
      <c r="Q410" s="96" t="s">
        <v>146</v>
      </c>
      <c r="R410" s="96" t="s">
        <v>146</v>
      </c>
      <c r="S410" s="99" t="s">
        <v>146</v>
      </c>
      <c r="T410" s="111" t="s">
        <v>43</v>
      </c>
      <c r="U410" s="96" t="s">
        <v>777</v>
      </c>
      <c r="V410" s="192">
        <v>44761</v>
      </c>
      <c r="W410" s="186">
        <v>112</v>
      </c>
      <c r="X410" s="99">
        <v>112</v>
      </c>
      <c r="Y410" s="99" t="s">
        <v>1317</v>
      </c>
      <c r="Z410" s="99" t="s">
        <v>168</v>
      </c>
      <c r="AA410" s="99" t="s">
        <v>169</v>
      </c>
      <c r="AB410" s="96" t="s">
        <v>3554</v>
      </c>
      <c r="AC410" s="96"/>
      <c r="AD410" s="97">
        <v>44858</v>
      </c>
      <c r="AE410" s="183" t="s">
        <v>4271</v>
      </c>
      <c r="AF410" s="186">
        <v>97</v>
      </c>
      <c r="AG410" s="186"/>
      <c r="AH410" s="187">
        <v>97</v>
      </c>
      <c r="AI410" s="99" t="s">
        <v>2462</v>
      </c>
      <c r="AJ410" s="96" t="s">
        <v>171</v>
      </c>
      <c r="AK410" s="99" t="s">
        <v>3970</v>
      </c>
      <c r="AL410" s="97">
        <v>44819</v>
      </c>
      <c r="AM410" s="204">
        <v>226014074</v>
      </c>
      <c r="AN410" s="99" t="s">
        <v>3971</v>
      </c>
      <c r="AO410" s="99">
        <v>202208493</v>
      </c>
      <c r="AP410" s="181">
        <f t="shared" ref="AP410:AP412" si="179">+K410-AM410</f>
        <v>545926</v>
      </c>
      <c r="AQ410" s="99" t="s">
        <v>174</v>
      </c>
      <c r="AR410" s="99" t="s">
        <v>175</v>
      </c>
      <c r="AS410" s="203"/>
      <c r="AT410" s="200"/>
      <c r="AU410" s="200"/>
      <c r="AV410" s="260"/>
      <c r="AW410" s="260"/>
      <c r="AX410" s="260"/>
      <c r="AY410" s="167">
        <f t="shared" ref="AY410:AY412" si="180">+AP410/K410</f>
        <v>2.4096310028248586E-3</v>
      </c>
      <c r="AZ410" s="139">
        <f t="shared" si="178"/>
        <v>0</v>
      </c>
      <c r="BA410" s="139">
        <f>IF(T410="Invitación Privada",1,IF(T410="Invitación Pública",2,0))</f>
        <v>1</v>
      </c>
      <c r="BB410" s="132">
        <f>IF(AA410="CONTRATADO",IF(BA410=1,NETWORKDAYS.INTL(E410,AD410,1,[1]FESTIVOS!$B$3:$B$10)-1,AD410-E410))-BD410</f>
        <v>69</v>
      </c>
      <c r="BD410" s="207">
        <v>0</v>
      </c>
      <c r="BE410" s="208"/>
    </row>
    <row r="411" spans="2:58" ht="43.9" customHeight="1" x14ac:dyDescent="0.25">
      <c r="B411" s="100">
        <f t="shared" si="175"/>
        <v>393</v>
      </c>
      <c r="C411" s="110" t="s">
        <v>2699</v>
      </c>
      <c r="D411" s="99" t="s">
        <v>32</v>
      </c>
      <c r="E411" s="189">
        <v>44763</v>
      </c>
      <c r="F411" s="268" t="s">
        <v>4437</v>
      </c>
      <c r="G411" s="191" t="s">
        <v>255</v>
      </c>
      <c r="H411" s="96" t="s">
        <v>1974</v>
      </c>
      <c r="I411" s="96" t="s">
        <v>146</v>
      </c>
      <c r="J411" s="96" t="s">
        <v>1975</v>
      </c>
      <c r="K411" s="344">
        <v>470442700</v>
      </c>
      <c r="L411" s="96" t="s">
        <v>3457</v>
      </c>
      <c r="M411" s="99" t="s">
        <v>2700</v>
      </c>
      <c r="N411" s="99"/>
      <c r="O411" s="99">
        <v>202203902</v>
      </c>
      <c r="P411" s="185"/>
      <c r="Q411" s="96" t="s">
        <v>146</v>
      </c>
      <c r="R411" s="96" t="s">
        <v>146</v>
      </c>
      <c r="S411" s="99" t="s">
        <v>146</v>
      </c>
      <c r="T411" s="111" t="s">
        <v>43</v>
      </c>
      <c r="U411" s="96" t="s">
        <v>452</v>
      </c>
      <c r="V411" s="192">
        <v>44761</v>
      </c>
      <c r="W411" s="186" t="e">
        <f>+$D$4-E411</f>
        <v>#VALUE!</v>
      </c>
      <c r="X411" s="99" t="e">
        <f>$D$4-V411</f>
        <v>#VALUE!</v>
      </c>
      <c r="Y411" s="99" t="s">
        <v>1317</v>
      </c>
      <c r="Z411" s="99" t="s">
        <v>168</v>
      </c>
      <c r="AA411" s="99" t="s">
        <v>169</v>
      </c>
      <c r="AB411" s="96" t="s">
        <v>2701</v>
      </c>
      <c r="AC411" s="99"/>
      <c r="AD411" s="97">
        <v>44802</v>
      </c>
      <c r="AE411" s="183" t="s">
        <v>4262</v>
      </c>
      <c r="AF411" s="183"/>
      <c r="AG411" s="186">
        <f>+AD411-E411</f>
        <v>39</v>
      </c>
      <c r="AH411" s="187">
        <f>+AD411-V411</f>
        <v>41</v>
      </c>
      <c r="AI411" s="99" t="s">
        <v>2388</v>
      </c>
      <c r="AJ411" s="96" t="s">
        <v>491</v>
      </c>
      <c r="AK411" s="99" t="s">
        <v>3668</v>
      </c>
      <c r="AL411" s="97">
        <v>44800</v>
      </c>
      <c r="AM411" s="204">
        <v>344778700</v>
      </c>
      <c r="AN411" s="96" t="s">
        <v>3669</v>
      </c>
      <c r="AO411" s="99">
        <v>202207903</v>
      </c>
      <c r="AP411" s="181">
        <f t="shared" si="179"/>
        <v>125664000</v>
      </c>
      <c r="AQ411" s="193"/>
      <c r="AR411" s="193"/>
      <c r="AS411" s="99"/>
      <c r="AT411" s="99"/>
      <c r="AU411" s="193"/>
      <c r="AV411" s="99" t="s">
        <v>174</v>
      </c>
      <c r="AW411" s="99" t="s">
        <v>175</v>
      </c>
      <c r="AX411" s="96" t="s">
        <v>2459</v>
      </c>
      <c r="AY411" s="167">
        <f t="shared" si="180"/>
        <v>0.26711860976905372</v>
      </c>
      <c r="AZ411" s="139">
        <f t="shared" si="178"/>
        <v>1</v>
      </c>
      <c r="BA411" s="139">
        <f>IF(T411="Invitación Privada",1,IF(T411="Invitación Pública",2,0))</f>
        <v>1</v>
      </c>
      <c r="BB411" s="132">
        <f>IF(AA411="CONTRATADO",IF(BA411=1,NETWORKDAYS.INTL(E411,AD411,1,[1]FESTIVOS!$B$3:$B$10)-1,AD411-E411))-BD411</f>
        <v>27</v>
      </c>
      <c r="BD411" s="207"/>
      <c r="BE411" s="208"/>
    </row>
    <row r="412" spans="2:58" ht="43.9" customHeight="1" x14ac:dyDescent="0.25">
      <c r="B412" s="100">
        <f t="shared" si="175"/>
        <v>394</v>
      </c>
      <c r="C412" s="110" t="s">
        <v>2702</v>
      </c>
      <c r="D412" s="99" t="s">
        <v>28</v>
      </c>
      <c r="E412" s="142">
        <v>44763</v>
      </c>
      <c r="F412" s="268" t="s">
        <v>4437</v>
      </c>
      <c r="G412" s="143" t="s">
        <v>255</v>
      </c>
      <c r="H412" s="96" t="s">
        <v>1602</v>
      </c>
      <c r="I412" s="96" t="s">
        <v>146</v>
      </c>
      <c r="J412" s="133" t="s">
        <v>1603</v>
      </c>
      <c r="K412" s="343">
        <v>589996150</v>
      </c>
      <c r="L412" s="96" t="s">
        <v>3449</v>
      </c>
      <c r="M412" s="99" t="s">
        <v>2703</v>
      </c>
      <c r="N412" s="99"/>
      <c r="O412" s="99">
        <v>202202190</v>
      </c>
      <c r="P412" s="169"/>
      <c r="Q412" s="96" t="s">
        <v>146</v>
      </c>
      <c r="R412" s="96" t="s">
        <v>146</v>
      </c>
      <c r="S412" s="99" t="s">
        <v>146</v>
      </c>
      <c r="T412" s="111" t="s">
        <v>43</v>
      </c>
      <c r="U412" s="96" t="s">
        <v>452</v>
      </c>
      <c r="V412" s="119">
        <v>44763</v>
      </c>
      <c r="W412" s="170">
        <v>55</v>
      </c>
      <c r="X412" s="99">
        <v>55</v>
      </c>
      <c r="Y412" s="99" t="s">
        <v>1317</v>
      </c>
      <c r="Z412" s="99" t="s">
        <v>168</v>
      </c>
      <c r="AA412" s="99" t="s">
        <v>169</v>
      </c>
      <c r="AB412" s="96" t="s">
        <v>2701</v>
      </c>
      <c r="AC412" s="99"/>
      <c r="AD412" s="97">
        <v>44792</v>
      </c>
      <c r="AE412" s="183" t="s">
        <v>4438</v>
      </c>
      <c r="AF412" s="171"/>
      <c r="AG412" s="170">
        <v>29</v>
      </c>
      <c r="AH412" s="144">
        <v>29</v>
      </c>
      <c r="AI412" s="99" t="s">
        <v>2388</v>
      </c>
      <c r="AJ412" s="96" t="s">
        <v>155</v>
      </c>
      <c r="AK412" s="99" t="s">
        <v>3450</v>
      </c>
      <c r="AL412" s="97">
        <v>44784</v>
      </c>
      <c r="AM412" s="204">
        <v>589750704</v>
      </c>
      <c r="AN412" s="96" t="s">
        <v>3451</v>
      </c>
      <c r="AO412" s="99">
        <v>202207759</v>
      </c>
      <c r="AP412" s="181">
        <f t="shared" si="179"/>
        <v>245446</v>
      </c>
      <c r="AQ412" s="138"/>
      <c r="AR412" s="138"/>
      <c r="AS412" s="99"/>
      <c r="AT412" s="99"/>
      <c r="AU412" s="138"/>
      <c r="AV412" s="99" t="s">
        <v>1001</v>
      </c>
      <c r="AW412" s="99" t="s">
        <v>1002</v>
      </c>
      <c r="AX412" s="96" t="s">
        <v>2379</v>
      </c>
      <c r="AY412" s="167">
        <f t="shared" si="180"/>
        <v>4.1601288415187118E-4</v>
      </c>
      <c r="AZ412" s="139">
        <f t="shared" si="178"/>
        <v>1</v>
      </c>
      <c r="BA412" s="139">
        <f>IF(T412="Invitación Privada",1,IF(T412="Invitación Pública",2,0))</f>
        <v>1</v>
      </c>
      <c r="BB412" s="132">
        <f>IF(AA412="CONTRATADO",IF(BA412=1,NETWORKDAYS.INTL(E412,AD412,1,[1]FESTIVOS!$B$3:$B$10)-1,AD412-E412))-BD412</f>
        <v>21</v>
      </c>
      <c r="BC412" s="156"/>
      <c r="BD412" s="162"/>
      <c r="BE412" s="163"/>
    </row>
    <row r="413" spans="2:58" ht="43.9" customHeight="1" x14ac:dyDescent="0.25">
      <c r="B413" s="100">
        <f t="shared" si="175"/>
        <v>395</v>
      </c>
      <c r="C413" s="293" t="s">
        <v>2704</v>
      </c>
      <c r="D413" s="265" t="s">
        <v>1559</v>
      </c>
      <c r="E413" s="272">
        <v>44763</v>
      </c>
      <c r="F413" s="268" t="s">
        <v>4437</v>
      </c>
      <c r="G413" s="269" t="s">
        <v>2705</v>
      </c>
      <c r="H413" s="265" t="s">
        <v>2706</v>
      </c>
      <c r="I413" s="265" t="s">
        <v>146</v>
      </c>
      <c r="J413" s="269" t="s">
        <v>2707</v>
      </c>
      <c r="K413" s="342">
        <v>36000000</v>
      </c>
      <c r="L413" s="282"/>
      <c r="M413" s="265" t="s">
        <v>2708</v>
      </c>
      <c r="N413" s="302" t="str">
        <f t="shared" ref="N413:N422" si="181">MID(M413,5,3)</f>
        <v>IP-</v>
      </c>
      <c r="O413" s="265">
        <v>202205131</v>
      </c>
      <c r="P413" s="271"/>
      <c r="Q413" s="265" t="s">
        <v>146</v>
      </c>
      <c r="R413" s="265" t="s">
        <v>146</v>
      </c>
      <c r="S413" s="265" t="s">
        <v>146</v>
      </c>
      <c r="T413" s="111" t="s">
        <v>43</v>
      </c>
      <c r="U413" s="269" t="s">
        <v>1357</v>
      </c>
      <c r="V413" s="285">
        <v>44769</v>
      </c>
      <c r="W413" s="303" t="e">
        <f t="shared" ref="W413:W423" si="182">+$D$4-E413</f>
        <v>#VALUE!</v>
      </c>
      <c r="X413" s="303" t="e">
        <f t="shared" ref="X413:X423" si="183">$D$4-V413</f>
        <v>#VALUE!</v>
      </c>
      <c r="Y413" s="265" t="s">
        <v>1300</v>
      </c>
      <c r="Z413" s="265" t="s">
        <v>214</v>
      </c>
      <c r="AA413" s="265" t="s">
        <v>215</v>
      </c>
      <c r="AB413" s="272">
        <v>44881</v>
      </c>
      <c r="AC413" s="304" t="s">
        <v>4025</v>
      </c>
      <c r="AD413" s="272">
        <v>44883</v>
      </c>
      <c r="AE413" s="265"/>
      <c r="AF413" s="305" t="str">
        <f t="shared" ref="AF413:AF422" si="184">+IF(AD413="","",TEXT(AD413,"mmm"))</f>
        <v>nov</v>
      </c>
      <c r="AG413" s="306">
        <f t="shared" ref="AG413:AG423" si="185">+AD413-E413</f>
        <v>120</v>
      </c>
      <c r="AH413" s="307">
        <f t="shared" ref="AH413:AH423" si="186">+AD413-V413</f>
        <v>114</v>
      </c>
      <c r="AI413" s="265"/>
      <c r="AJ413" s="265" t="s">
        <v>171</v>
      </c>
      <c r="AK413" s="265"/>
      <c r="AL413" s="265"/>
      <c r="AM413" s="309"/>
      <c r="AN413" s="269"/>
      <c r="AO413" s="265"/>
      <c r="AP413" s="309"/>
      <c r="AQ413" s="289"/>
      <c r="AR413" s="269"/>
      <c r="AS413" s="265"/>
      <c r="AT413" s="260"/>
      <c r="AU413" s="260"/>
      <c r="AV413" s="200"/>
      <c r="AW413" s="200"/>
      <c r="AX413" s="200"/>
      <c r="AY413" s="200"/>
      <c r="AZ413" s="139">
        <f t="shared" si="178"/>
        <v>0</v>
      </c>
      <c r="BA413" s="200"/>
      <c r="BB413" s="203"/>
      <c r="BC413" s="95"/>
      <c r="BD413" s="2"/>
      <c r="BE413" s="2"/>
    </row>
    <row r="414" spans="2:58" ht="43.9" customHeight="1" x14ac:dyDescent="0.25">
      <c r="B414" s="100">
        <f t="shared" si="175"/>
        <v>396</v>
      </c>
      <c r="C414" s="293" t="s">
        <v>2709</v>
      </c>
      <c r="D414" s="265" t="s">
        <v>28</v>
      </c>
      <c r="E414" s="272">
        <v>44763</v>
      </c>
      <c r="F414" s="268" t="s">
        <v>4437</v>
      </c>
      <c r="G414" s="269" t="s">
        <v>2710</v>
      </c>
      <c r="H414" s="265" t="s">
        <v>2711</v>
      </c>
      <c r="I414" s="265" t="s">
        <v>146</v>
      </c>
      <c r="J414" s="269" t="s">
        <v>2712</v>
      </c>
      <c r="K414" s="342">
        <v>804190483</v>
      </c>
      <c r="L414" s="282"/>
      <c r="M414" s="265" t="s">
        <v>2713</v>
      </c>
      <c r="N414" s="302" t="str">
        <f t="shared" si="181"/>
        <v>IPU</v>
      </c>
      <c r="O414" s="265" t="s">
        <v>2714</v>
      </c>
      <c r="P414" s="271"/>
      <c r="Q414" s="265" t="s">
        <v>146</v>
      </c>
      <c r="R414" s="265" t="s">
        <v>146</v>
      </c>
      <c r="S414" s="265" t="s">
        <v>146</v>
      </c>
      <c r="T414" s="111" t="s">
        <v>40</v>
      </c>
      <c r="U414" s="269" t="s">
        <v>452</v>
      </c>
      <c r="V414" s="285">
        <v>44769</v>
      </c>
      <c r="W414" s="303" t="e">
        <f t="shared" si="182"/>
        <v>#VALUE!</v>
      </c>
      <c r="X414" s="303" t="e">
        <f t="shared" si="183"/>
        <v>#VALUE!</v>
      </c>
      <c r="Y414" s="265" t="s">
        <v>1300</v>
      </c>
      <c r="Z414" s="265" t="s">
        <v>214</v>
      </c>
      <c r="AA414" s="265" t="s">
        <v>215</v>
      </c>
      <c r="AB414" s="265"/>
      <c r="AC414" s="304" t="s">
        <v>2715</v>
      </c>
      <c r="AD414" s="272">
        <v>44819</v>
      </c>
      <c r="AE414" s="272"/>
      <c r="AF414" s="305" t="str">
        <f t="shared" si="184"/>
        <v>sep</v>
      </c>
      <c r="AG414" s="306">
        <f t="shared" si="185"/>
        <v>56</v>
      </c>
      <c r="AH414" s="307">
        <f t="shared" si="186"/>
        <v>50</v>
      </c>
      <c r="AI414" s="265" t="s">
        <v>258</v>
      </c>
      <c r="AJ414" s="265" t="s">
        <v>171</v>
      </c>
      <c r="AK414" s="265"/>
      <c r="AL414" s="265"/>
      <c r="AM414" s="309"/>
      <c r="AN414" s="269"/>
      <c r="AO414" s="265"/>
      <c r="AP414" s="309"/>
      <c r="AQ414" s="289"/>
      <c r="AR414" s="269"/>
      <c r="AS414" s="265"/>
      <c r="AT414" s="260"/>
      <c r="AU414" s="260"/>
      <c r="AV414" s="200"/>
      <c r="AW414" s="200"/>
      <c r="AX414" s="200"/>
      <c r="AY414" s="200"/>
      <c r="AZ414" s="139">
        <f t="shared" si="178"/>
        <v>1</v>
      </c>
      <c r="BA414" s="200"/>
      <c r="BB414" s="203"/>
      <c r="BC414" s="95"/>
      <c r="BD414" s="2"/>
      <c r="BE414" s="2"/>
    </row>
    <row r="415" spans="2:58" ht="43.9" customHeight="1" x14ac:dyDescent="0.25">
      <c r="B415" s="100">
        <f t="shared" si="175"/>
        <v>397</v>
      </c>
      <c r="C415" s="293" t="s">
        <v>2716</v>
      </c>
      <c r="D415" s="265" t="s">
        <v>28</v>
      </c>
      <c r="E415" s="284">
        <v>44763</v>
      </c>
      <c r="F415" s="268" t="s">
        <v>4437</v>
      </c>
      <c r="G415" s="269" t="s">
        <v>146</v>
      </c>
      <c r="H415" s="265" t="s">
        <v>2717</v>
      </c>
      <c r="I415" s="265" t="s">
        <v>146</v>
      </c>
      <c r="J415" s="269" t="s">
        <v>2718</v>
      </c>
      <c r="K415" s="342" t="s">
        <v>146</v>
      </c>
      <c r="L415" s="282"/>
      <c r="M415" s="265"/>
      <c r="N415" s="302" t="str">
        <f t="shared" si="181"/>
        <v/>
      </c>
      <c r="O415" s="265" t="s">
        <v>146</v>
      </c>
      <c r="P415" s="271"/>
      <c r="Q415" s="265" t="s">
        <v>146</v>
      </c>
      <c r="R415" s="265" t="s">
        <v>146</v>
      </c>
      <c r="S415" s="265" t="s">
        <v>146</v>
      </c>
      <c r="T415" s="280" t="str">
        <f>(IF(N415="IPU","INVITACION PUBLICA",(IF(N415="IP-","INVITACION PRIVADA"," "))))</f>
        <v xml:space="preserve"> </v>
      </c>
      <c r="U415" s="269" t="s">
        <v>1326</v>
      </c>
      <c r="V415" s="265"/>
      <c r="W415" s="303" t="e">
        <f t="shared" si="182"/>
        <v>#VALUE!</v>
      </c>
      <c r="X415" s="303" t="e">
        <f t="shared" si="183"/>
        <v>#VALUE!</v>
      </c>
      <c r="Y415" s="265"/>
      <c r="Z415" s="265" t="s">
        <v>948</v>
      </c>
      <c r="AA415" s="3" t="s">
        <v>215</v>
      </c>
      <c r="AB415" s="265"/>
      <c r="AC415" s="304" t="s">
        <v>4426</v>
      </c>
      <c r="AD415" s="265"/>
      <c r="AE415" s="265"/>
      <c r="AF415" s="305" t="str">
        <f t="shared" si="184"/>
        <v/>
      </c>
      <c r="AG415" s="306">
        <f t="shared" si="185"/>
        <v>-44763</v>
      </c>
      <c r="AH415" s="307">
        <f t="shared" si="186"/>
        <v>0</v>
      </c>
      <c r="AI415" s="265"/>
      <c r="AJ415" s="265" t="s">
        <v>171</v>
      </c>
      <c r="AK415" s="265"/>
      <c r="AL415" s="265"/>
      <c r="AM415" s="309"/>
      <c r="AN415" s="269"/>
      <c r="AO415" s="265"/>
      <c r="AP415" s="309"/>
      <c r="AQ415" s="289"/>
      <c r="AR415" s="269"/>
      <c r="AS415" s="265"/>
      <c r="AT415" s="260"/>
      <c r="AU415" s="260"/>
      <c r="AV415" s="200"/>
      <c r="AW415" s="200"/>
      <c r="AX415" s="200"/>
      <c r="AY415" s="200"/>
      <c r="AZ415" s="139">
        <f t="shared" si="178"/>
        <v>1</v>
      </c>
      <c r="BA415" s="200"/>
      <c r="BB415" s="203"/>
      <c r="BC415" s="95"/>
      <c r="BD415" s="2"/>
      <c r="BE415" s="2"/>
    </row>
    <row r="416" spans="2:58" ht="43.9" customHeight="1" x14ac:dyDescent="0.25">
      <c r="B416" s="100">
        <f t="shared" si="175"/>
        <v>398</v>
      </c>
      <c r="C416" s="293" t="s">
        <v>2720</v>
      </c>
      <c r="D416" s="265" t="s">
        <v>28</v>
      </c>
      <c r="E416" s="272">
        <v>44763</v>
      </c>
      <c r="F416" s="268" t="s">
        <v>4437</v>
      </c>
      <c r="G416" s="269" t="s">
        <v>146</v>
      </c>
      <c r="H416" s="265" t="s">
        <v>2721</v>
      </c>
      <c r="I416" s="265" t="s">
        <v>146</v>
      </c>
      <c r="J416" s="269" t="s">
        <v>2722</v>
      </c>
      <c r="K416" s="342">
        <v>5802473868</v>
      </c>
      <c r="L416" s="282"/>
      <c r="M416" s="265" t="s">
        <v>3555</v>
      </c>
      <c r="N416" s="302" t="str">
        <f t="shared" si="181"/>
        <v>IPU</v>
      </c>
      <c r="O416" s="265"/>
      <c r="P416" s="271"/>
      <c r="Q416" s="265" t="s">
        <v>146</v>
      </c>
      <c r="R416" s="265" t="s">
        <v>146</v>
      </c>
      <c r="S416" s="265" t="s">
        <v>146</v>
      </c>
      <c r="T416" s="111" t="s">
        <v>40</v>
      </c>
      <c r="U416" s="269" t="s">
        <v>187</v>
      </c>
      <c r="V416" s="285">
        <v>44775</v>
      </c>
      <c r="W416" s="303" t="e">
        <f t="shared" si="182"/>
        <v>#VALUE!</v>
      </c>
      <c r="X416" s="303" t="e">
        <f t="shared" si="183"/>
        <v>#VALUE!</v>
      </c>
      <c r="Y416" s="265"/>
      <c r="Z416" s="265" t="s">
        <v>4066</v>
      </c>
      <c r="AA416" s="265" t="s">
        <v>215</v>
      </c>
      <c r="AB416" s="272">
        <v>44895</v>
      </c>
      <c r="AC416" s="304" t="s">
        <v>4072</v>
      </c>
      <c r="AD416" s="272">
        <v>44895</v>
      </c>
      <c r="AE416" s="265"/>
      <c r="AF416" s="305" t="str">
        <f t="shared" si="184"/>
        <v>nov</v>
      </c>
      <c r="AG416" s="306">
        <f t="shared" si="185"/>
        <v>132</v>
      </c>
      <c r="AH416" s="307">
        <f t="shared" si="186"/>
        <v>120</v>
      </c>
      <c r="AI416" s="265"/>
      <c r="AJ416" s="265" t="s">
        <v>155</v>
      </c>
      <c r="AK416" s="265"/>
      <c r="AL416" s="265"/>
      <c r="AM416" s="309"/>
      <c r="AN416" s="269"/>
      <c r="AO416" s="265"/>
      <c r="AP416" s="309"/>
      <c r="AQ416" s="289"/>
      <c r="AR416" s="269"/>
      <c r="AS416" s="265"/>
      <c r="AT416" s="260"/>
      <c r="AU416" s="260"/>
      <c r="AV416" s="200"/>
      <c r="AW416" s="200"/>
      <c r="AX416" s="200"/>
      <c r="AY416" s="200"/>
      <c r="AZ416" s="139">
        <f t="shared" si="178"/>
        <v>1</v>
      </c>
      <c r="BA416" s="200"/>
      <c r="BB416" s="203"/>
      <c r="BC416" s="95"/>
      <c r="BD416" s="2"/>
      <c r="BE416" s="2"/>
    </row>
    <row r="417" spans="2:57" ht="43.9" customHeight="1" x14ac:dyDescent="0.25">
      <c r="B417" s="100">
        <f t="shared" si="175"/>
        <v>399</v>
      </c>
      <c r="C417" s="293" t="s">
        <v>2724</v>
      </c>
      <c r="D417" s="265" t="s">
        <v>28</v>
      </c>
      <c r="E417" s="272">
        <v>44763</v>
      </c>
      <c r="F417" s="268" t="s">
        <v>4437</v>
      </c>
      <c r="G417" s="269" t="s">
        <v>146</v>
      </c>
      <c r="H417" s="265" t="s">
        <v>2725</v>
      </c>
      <c r="I417" s="265" t="s">
        <v>146</v>
      </c>
      <c r="J417" s="269" t="s">
        <v>2726</v>
      </c>
      <c r="K417" s="342">
        <v>650432580</v>
      </c>
      <c r="L417" s="282"/>
      <c r="M417" s="265" t="s">
        <v>3927</v>
      </c>
      <c r="N417" s="302" t="str">
        <f t="shared" si="181"/>
        <v>IPU</v>
      </c>
      <c r="O417" s="265" t="s">
        <v>146</v>
      </c>
      <c r="P417" s="271"/>
      <c r="Q417" s="265" t="s">
        <v>146</v>
      </c>
      <c r="R417" s="265" t="s">
        <v>146</v>
      </c>
      <c r="S417" s="265" t="s">
        <v>146</v>
      </c>
      <c r="T417" s="111" t="s">
        <v>40</v>
      </c>
      <c r="U417" s="269" t="s">
        <v>187</v>
      </c>
      <c r="V417" s="285">
        <v>44775</v>
      </c>
      <c r="W417" s="303" t="e">
        <f t="shared" si="182"/>
        <v>#VALUE!</v>
      </c>
      <c r="X417" s="303" t="e">
        <f t="shared" si="183"/>
        <v>#VALUE!</v>
      </c>
      <c r="Y417" s="265"/>
      <c r="Z417" s="265" t="s">
        <v>4066</v>
      </c>
      <c r="AA417" s="265" t="s">
        <v>215</v>
      </c>
      <c r="AB417" s="272">
        <v>44895</v>
      </c>
      <c r="AC417" s="304" t="s">
        <v>4073</v>
      </c>
      <c r="AD417" s="272">
        <v>44895</v>
      </c>
      <c r="AE417" s="265"/>
      <c r="AF417" s="305" t="str">
        <f t="shared" si="184"/>
        <v>nov</v>
      </c>
      <c r="AG417" s="306">
        <f t="shared" si="185"/>
        <v>132</v>
      </c>
      <c r="AH417" s="307">
        <f t="shared" si="186"/>
        <v>120</v>
      </c>
      <c r="AI417" s="265"/>
      <c r="AJ417" s="265" t="s">
        <v>155</v>
      </c>
      <c r="AK417" s="265"/>
      <c r="AL417" s="265"/>
      <c r="AM417" s="309"/>
      <c r="AN417" s="269"/>
      <c r="AO417" s="265"/>
      <c r="AP417" s="309"/>
      <c r="AQ417" s="289"/>
      <c r="AR417" s="269"/>
      <c r="AS417" s="265"/>
      <c r="AT417" s="260"/>
      <c r="AU417" s="260"/>
      <c r="AV417" s="200"/>
      <c r="AW417" s="200"/>
      <c r="AX417" s="200"/>
      <c r="AY417" s="200"/>
      <c r="AZ417" s="139">
        <f t="shared" si="178"/>
        <v>1</v>
      </c>
      <c r="BA417" s="200"/>
      <c r="BB417" s="203"/>
      <c r="BC417" s="95"/>
      <c r="BD417" s="2"/>
      <c r="BE417" s="2"/>
    </row>
    <row r="418" spans="2:57" ht="43.9" customHeight="1" x14ac:dyDescent="0.25">
      <c r="B418" s="100">
        <f t="shared" si="175"/>
        <v>400</v>
      </c>
      <c r="C418" s="293" t="s">
        <v>2727</v>
      </c>
      <c r="D418" s="265" t="s">
        <v>28</v>
      </c>
      <c r="E418" s="272">
        <v>44763</v>
      </c>
      <c r="F418" s="268" t="s">
        <v>4437</v>
      </c>
      <c r="G418" s="269" t="s">
        <v>146</v>
      </c>
      <c r="H418" s="265" t="s">
        <v>2728</v>
      </c>
      <c r="I418" s="265" t="s">
        <v>146</v>
      </c>
      <c r="J418" s="269" t="s">
        <v>2729</v>
      </c>
      <c r="K418" s="342">
        <v>700000000</v>
      </c>
      <c r="L418" s="282"/>
      <c r="M418" s="265" t="s">
        <v>3556</v>
      </c>
      <c r="N418" s="302" t="str">
        <f t="shared" si="181"/>
        <v>IPU</v>
      </c>
      <c r="O418" s="265" t="s">
        <v>146</v>
      </c>
      <c r="P418" s="271"/>
      <c r="Q418" s="265" t="s">
        <v>146</v>
      </c>
      <c r="R418" s="265" t="s">
        <v>146</v>
      </c>
      <c r="S418" s="265" t="s">
        <v>146</v>
      </c>
      <c r="T418" s="111" t="s">
        <v>40</v>
      </c>
      <c r="U418" s="269" t="s">
        <v>187</v>
      </c>
      <c r="V418" s="285">
        <v>44776</v>
      </c>
      <c r="W418" s="303" t="e">
        <f t="shared" si="182"/>
        <v>#VALUE!</v>
      </c>
      <c r="X418" s="303" t="e">
        <f t="shared" si="183"/>
        <v>#VALUE!</v>
      </c>
      <c r="Y418" s="265"/>
      <c r="Z418" s="265" t="s">
        <v>4066</v>
      </c>
      <c r="AA418" s="265" t="s">
        <v>215</v>
      </c>
      <c r="AB418" s="272">
        <v>44895</v>
      </c>
      <c r="AC418" s="304" t="s">
        <v>4074</v>
      </c>
      <c r="AD418" s="272">
        <v>44895</v>
      </c>
      <c r="AE418" s="265"/>
      <c r="AF418" s="305" t="str">
        <f t="shared" si="184"/>
        <v>nov</v>
      </c>
      <c r="AG418" s="306">
        <f t="shared" si="185"/>
        <v>132</v>
      </c>
      <c r="AH418" s="307">
        <f t="shared" si="186"/>
        <v>119</v>
      </c>
      <c r="AI418" s="265"/>
      <c r="AJ418" s="265" t="s">
        <v>155</v>
      </c>
      <c r="AK418" s="265"/>
      <c r="AL418" s="265"/>
      <c r="AM418" s="309"/>
      <c r="AN418" s="269"/>
      <c r="AO418" s="265"/>
      <c r="AP418" s="309"/>
      <c r="AQ418" s="289"/>
      <c r="AR418" s="269"/>
      <c r="AS418" s="265"/>
      <c r="AT418" s="260"/>
      <c r="AU418" s="260"/>
      <c r="AV418" s="200"/>
      <c r="AW418" s="200"/>
      <c r="AX418" s="200"/>
      <c r="AY418" s="200"/>
      <c r="AZ418" s="139">
        <f t="shared" si="178"/>
        <v>1</v>
      </c>
      <c r="BA418" s="200"/>
      <c r="BB418" s="203"/>
      <c r="BC418" s="95"/>
      <c r="BD418" s="2"/>
      <c r="BE418" s="2"/>
    </row>
    <row r="419" spans="2:57" ht="43.9" customHeight="1" x14ac:dyDescent="0.25">
      <c r="B419" s="100">
        <f t="shared" si="175"/>
        <v>401</v>
      </c>
      <c r="C419" s="293" t="s">
        <v>2730</v>
      </c>
      <c r="D419" s="265" t="s">
        <v>28</v>
      </c>
      <c r="E419" s="272">
        <v>44763</v>
      </c>
      <c r="F419" s="268" t="s">
        <v>4437</v>
      </c>
      <c r="G419" s="269" t="s">
        <v>146</v>
      </c>
      <c r="H419" s="265" t="s">
        <v>2731</v>
      </c>
      <c r="I419" s="265" t="s">
        <v>146</v>
      </c>
      <c r="J419" s="269" t="s">
        <v>2732</v>
      </c>
      <c r="K419" s="342">
        <v>1000000000</v>
      </c>
      <c r="L419" s="282"/>
      <c r="M419" s="265" t="s">
        <v>3928</v>
      </c>
      <c r="N419" s="302" t="str">
        <f t="shared" si="181"/>
        <v>IPU</v>
      </c>
      <c r="O419" s="265" t="s">
        <v>146</v>
      </c>
      <c r="P419" s="271"/>
      <c r="Q419" s="265" t="s">
        <v>146</v>
      </c>
      <c r="R419" s="265" t="s">
        <v>146</v>
      </c>
      <c r="S419" s="265" t="s">
        <v>146</v>
      </c>
      <c r="T419" s="111" t="s">
        <v>40</v>
      </c>
      <c r="U419" s="269" t="s">
        <v>187</v>
      </c>
      <c r="V419" s="285">
        <v>44776</v>
      </c>
      <c r="W419" s="303" t="e">
        <f t="shared" si="182"/>
        <v>#VALUE!</v>
      </c>
      <c r="X419" s="303" t="e">
        <f t="shared" si="183"/>
        <v>#VALUE!</v>
      </c>
      <c r="Y419" s="265"/>
      <c r="Z419" s="265" t="s">
        <v>4066</v>
      </c>
      <c r="AA419" s="265" t="s">
        <v>215</v>
      </c>
      <c r="AB419" s="272">
        <v>44895</v>
      </c>
      <c r="AC419" s="304" t="s">
        <v>4075</v>
      </c>
      <c r="AD419" s="272">
        <v>44895</v>
      </c>
      <c r="AE419" s="265"/>
      <c r="AF419" s="305" t="str">
        <f t="shared" si="184"/>
        <v>nov</v>
      </c>
      <c r="AG419" s="306">
        <f t="shared" si="185"/>
        <v>132</v>
      </c>
      <c r="AH419" s="307">
        <f t="shared" si="186"/>
        <v>119</v>
      </c>
      <c r="AI419" s="265"/>
      <c r="AJ419" s="265" t="s">
        <v>155</v>
      </c>
      <c r="AK419" s="265"/>
      <c r="AL419" s="265"/>
      <c r="AM419" s="309"/>
      <c r="AN419" s="269"/>
      <c r="AO419" s="265"/>
      <c r="AP419" s="309"/>
      <c r="AQ419" s="289"/>
      <c r="AR419" s="269"/>
      <c r="AS419" s="265"/>
      <c r="AT419" s="260"/>
      <c r="AU419" s="260"/>
      <c r="AV419" s="200"/>
      <c r="AW419" s="200"/>
      <c r="AX419" s="200"/>
      <c r="AY419" s="200"/>
      <c r="AZ419" s="139">
        <f t="shared" si="178"/>
        <v>1</v>
      </c>
      <c r="BA419" s="200"/>
      <c r="BB419" s="203"/>
      <c r="BC419" s="95"/>
      <c r="BD419" s="2"/>
      <c r="BE419" s="2"/>
    </row>
    <row r="420" spans="2:57" ht="43.9" customHeight="1" x14ac:dyDescent="0.25">
      <c r="B420" s="100">
        <f t="shared" si="175"/>
        <v>402</v>
      </c>
      <c r="C420" s="293" t="s">
        <v>2733</v>
      </c>
      <c r="D420" s="265" t="s">
        <v>28</v>
      </c>
      <c r="E420" s="272">
        <v>44763</v>
      </c>
      <c r="F420" s="268" t="s">
        <v>4437</v>
      </c>
      <c r="G420" s="269" t="s">
        <v>4076</v>
      </c>
      <c r="H420" s="265" t="s">
        <v>2734</v>
      </c>
      <c r="I420" s="265" t="s">
        <v>146</v>
      </c>
      <c r="J420" s="269" t="s">
        <v>2735</v>
      </c>
      <c r="K420" s="342" t="s">
        <v>146</v>
      </c>
      <c r="L420" s="282"/>
      <c r="M420" s="265" t="s">
        <v>2736</v>
      </c>
      <c r="N420" s="302" t="str">
        <f t="shared" si="181"/>
        <v>IPU</v>
      </c>
      <c r="O420" s="265" t="s">
        <v>146</v>
      </c>
      <c r="P420" s="271"/>
      <c r="Q420" s="265" t="s">
        <v>146</v>
      </c>
      <c r="R420" s="265" t="s">
        <v>146</v>
      </c>
      <c r="S420" s="265" t="s">
        <v>146</v>
      </c>
      <c r="T420" s="111" t="s">
        <v>40</v>
      </c>
      <c r="U420" s="269" t="s">
        <v>187</v>
      </c>
      <c r="V420" s="285">
        <v>44771</v>
      </c>
      <c r="W420" s="303" t="e">
        <f t="shared" si="182"/>
        <v>#VALUE!</v>
      </c>
      <c r="X420" s="303" t="e">
        <f t="shared" si="183"/>
        <v>#VALUE!</v>
      </c>
      <c r="Y420" s="265"/>
      <c r="Z420" s="269" t="s">
        <v>4066</v>
      </c>
      <c r="AA420" s="265" t="s">
        <v>215</v>
      </c>
      <c r="AB420" s="272">
        <v>44895</v>
      </c>
      <c r="AC420" s="304" t="s">
        <v>4077</v>
      </c>
      <c r="AD420" s="272">
        <v>44895</v>
      </c>
      <c r="AE420" s="265"/>
      <c r="AF420" s="305" t="str">
        <f t="shared" si="184"/>
        <v>nov</v>
      </c>
      <c r="AG420" s="306">
        <f t="shared" si="185"/>
        <v>132</v>
      </c>
      <c r="AH420" s="307">
        <f t="shared" si="186"/>
        <v>124</v>
      </c>
      <c r="AI420" s="265"/>
      <c r="AJ420" s="265" t="s">
        <v>155</v>
      </c>
      <c r="AK420" s="265"/>
      <c r="AL420" s="265"/>
      <c r="AM420" s="309"/>
      <c r="AN420" s="269"/>
      <c r="AO420" s="265"/>
      <c r="AP420" s="309"/>
      <c r="AQ420" s="289"/>
      <c r="AR420" s="269"/>
      <c r="AS420" s="265"/>
      <c r="AT420" s="260"/>
      <c r="AU420" s="260"/>
      <c r="AV420" s="200"/>
      <c r="AW420" s="200"/>
      <c r="AX420" s="200"/>
      <c r="AY420" s="200"/>
      <c r="AZ420" s="139">
        <f t="shared" si="178"/>
        <v>1</v>
      </c>
      <c r="BA420" s="200"/>
      <c r="BB420" s="203"/>
      <c r="BC420" s="95"/>
      <c r="BD420" s="2"/>
      <c r="BE420" s="2"/>
    </row>
    <row r="421" spans="2:57" ht="43.9" customHeight="1" x14ac:dyDescent="0.25">
      <c r="B421" s="100">
        <f t="shared" si="175"/>
        <v>403</v>
      </c>
      <c r="C421" s="293" t="s">
        <v>2738</v>
      </c>
      <c r="D421" s="265" t="s">
        <v>28</v>
      </c>
      <c r="E421" s="272">
        <v>44763</v>
      </c>
      <c r="F421" s="268" t="s">
        <v>4437</v>
      </c>
      <c r="G421" s="269" t="s">
        <v>146</v>
      </c>
      <c r="H421" s="265" t="s">
        <v>2739</v>
      </c>
      <c r="I421" s="265" t="s">
        <v>146</v>
      </c>
      <c r="J421" s="269" t="s">
        <v>2740</v>
      </c>
      <c r="K421" s="342">
        <v>1868276989</v>
      </c>
      <c r="L421" s="282"/>
      <c r="M421" s="265" t="s">
        <v>4078</v>
      </c>
      <c r="N421" s="302" t="str">
        <f t="shared" si="181"/>
        <v>IPU</v>
      </c>
      <c r="O421" s="265" t="s">
        <v>146</v>
      </c>
      <c r="P421" s="271"/>
      <c r="Q421" s="265" t="s">
        <v>146</v>
      </c>
      <c r="R421" s="265" t="s">
        <v>146</v>
      </c>
      <c r="S421" s="265" t="s">
        <v>146</v>
      </c>
      <c r="T421" s="111" t="s">
        <v>40</v>
      </c>
      <c r="U421" s="269" t="s">
        <v>187</v>
      </c>
      <c r="V421" s="285">
        <v>44775</v>
      </c>
      <c r="W421" s="303" t="e">
        <f t="shared" si="182"/>
        <v>#VALUE!</v>
      </c>
      <c r="X421" s="303" t="e">
        <f t="shared" si="183"/>
        <v>#VALUE!</v>
      </c>
      <c r="Y421" s="265"/>
      <c r="Z421" s="265" t="s">
        <v>4066</v>
      </c>
      <c r="AA421" s="265" t="s">
        <v>215</v>
      </c>
      <c r="AB421" s="272">
        <v>44895</v>
      </c>
      <c r="AC421" s="304" t="s">
        <v>4079</v>
      </c>
      <c r="AD421" s="272">
        <v>44895</v>
      </c>
      <c r="AE421" s="265"/>
      <c r="AF421" s="305" t="str">
        <f t="shared" si="184"/>
        <v>nov</v>
      </c>
      <c r="AG421" s="306">
        <f t="shared" si="185"/>
        <v>132</v>
      </c>
      <c r="AH421" s="307">
        <f t="shared" si="186"/>
        <v>120</v>
      </c>
      <c r="AI421" s="265"/>
      <c r="AJ421" s="265" t="s">
        <v>155</v>
      </c>
      <c r="AK421" s="265"/>
      <c r="AL421" s="265"/>
      <c r="AM421" s="309"/>
      <c r="AN421" s="269"/>
      <c r="AO421" s="265"/>
      <c r="AP421" s="309"/>
      <c r="AQ421" s="289"/>
      <c r="AR421" s="269"/>
      <c r="AS421" s="265"/>
      <c r="AT421" s="260"/>
      <c r="AU421" s="260"/>
      <c r="AV421" s="200"/>
      <c r="AW421" s="200"/>
      <c r="AX421" s="200"/>
      <c r="AY421" s="200"/>
      <c r="AZ421" s="139">
        <f t="shared" si="178"/>
        <v>1</v>
      </c>
      <c r="BA421" s="200"/>
      <c r="BB421" s="203"/>
      <c r="BC421" s="95"/>
      <c r="BD421" s="2"/>
      <c r="BE421" s="2"/>
    </row>
    <row r="422" spans="2:57" ht="43.9" customHeight="1" x14ac:dyDescent="0.25">
      <c r="B422" s="100">
        <f t="shared" si="175"/>
        <v>404</v>
      </c>
      <c r="C422" s="293" t="s">
        <v>2741</v>
      </c>
      <c r="D422" s="265" t="s">
        <v>28</v>
      </c>
      <c r="E422" s="272">
        <v>44763</v>
      </c>
      <c r="F422" s="268" t="s">
        <v>4437</v>
      </c>
      <c r="G422" s="269" t="s">
        <v>146</v>
      </c>
      <c r="H422" s="265" t="s">
        <v>2742</v>
      </c>
      <c r="I422" s="265" t="s">
        <v>146</v>
      </c>
      <c r="J422" s="269" t="s">
        <v>2743</v>
      </c>
      <c r="K422" s="342">
        <v>720000000</v>
      </c>
      <c r="L422" s="282"/>
      <c r="M422" s="265" t="s">
        <v>4080</v>
      </c>
      <c r="N422" s="302" t="str">
        <f t="shared" si="181"/>
        <v>IPU</v>
      </c>
      <c r="O422" s="265" t="s">
        <v>146</v>
      </c>
      <c r="P422" s="271"/>
      <c r="Q422" s="265" t="s">
        <v>146</v>
      </c>
      <c r="R422" s="265" t="s">
        <v>146</v>
      </c>
      <c r="S422" s="265" t="s">
        <v>146</v>
      </c>
      <c r="T422" s="111" t="s">
        <v>40</v>
      </c>
      <c r="U422" s="269" t="s">
        <v>187</v>
      </c>
      <c r="V422" s="285">
        <v>44775</v>
      </c>
      <c r="W422" s="303" t="e">
        <f t="shared" si="182"/>
        <v>#VALUE!</v>
      </c>
      <c r="X422" s="303" t="e">
        <f t="shared" si="183"/>
        <v>#VALUE!</v>
      </c>
      <c r="Y422" s="265"/>
      <c r="Z422" s="265" t="s">
        <v>4066</v>
      </c>
      <c r="AA422" s="265" t="s">
        <v>215</v>
      </c>
      <c r="AB422" s="272">
        <v>44895</v>
      </c>
      <c r="AC422" s="304" t="s">
        <v>4081</v>
      </c>
      <c r="AD422" s="272">
        <v>44895</v>
      </c>
      <c r="AE422" s="265"/>
      <c r="AF422" s="305" t="str">
        <f t="shared" si="184"/>
        <v>nov</v>
      </c>
      <c r="AG422" s="306">
        <f t="shared" si="185"/>
        <v>132</v>
      </c>
      <c r="AH422" s="307">
        <f t="shared" si="186"/>
        <v>120</v>
      </c>
      <c r="AI422" s="265"/>
      <c r="AJ422" s="265" t="s">
        <v>155</v>
      </c>
      <c r="AK422" s="265"/>
      <c r="AL422" s="265"/>
      <c r="AM422" s="309"/>
      <c r="AN422" s="269"/>
      <c r="AO422" s="265"/>
      <c r="AP422" s="309"/>
      <c r="AQ422" s="289"/>
      <c r="AR422" s="269"/>
      <c r="AS422" s="265"/>
      <c r="AT422" s="260"/>
      <c r="AU422" s="260"/>
      <c r="AV422" s="200"/>
      <c r="AW422" s="200"/>
      <c r="AX422" s="200"/>
      <c r="AY422" s="200"/>
      <c r="AZ422" s="139">
        <f t="shared" si="178"/>
        <v>1</v>
      </c>
      <c r="BA422" s="200"/>
      <c r="BB422" s="203"/>
      <c r="BC422" s="95"/>
      <c r="BD422" s="2"/>
      <c r="BE422" s="2"/>
    </row>
    <row r="423" spans="2:57" ht="43.9" customHeight="1" x14ac:dyDescent="0.25">
      <c r="B423" s="100">
        <f t="shared" si="175"/>
        <v>405</v>
      </c>
      <c r="C423" s="110" t="s">
        <v>2744</v>
      </c>
      <c r="D423" s="99" t="s">
        <v>32</v>
      </c>
      <c r="E423" s="189">
        <v>44763</v>
      </c>
      <c r="F423" s="268" t="s">
        <v>4437</v>
      </c>
      <c r="G423" s="96" t="s">
        <v>2745</v>
      </c>
      <c r="H423" s="96" t="s">
        <v>2746</v>
      </c>
      <c r="I423" s="96" t="s">
        <v>226</v>
      </c>
      <c r="J423" s="133" t="s">
        <v>2747</v>
      </c>
      <c r="K423" s="344">
        <v>260921304</v>
      </c>
      <c r="L423" s="96" t="s">
        <v>3449</v>
      </c>
      <c r="M423" s="99" t="s">
        <v>146</v>
      </c>
      <c r="N423" s="99"/>
      <c r="O423" s="99">
        <v>202204350</v>
      </c>
      <c r="P423" s="190">
        <v>260921304</v>
      </c>
      <c r="Q423" s="96" t="s">
        <v>146</v>
      </c>
      <c r="R423" s="96" t="s">
        <v>146</v>
      </c>
      <c r="S423" s="99" t="s">
        <v>146</v>
      </c>
      <c r="T423" s="96" t="s">
        <v>230</v>
      </c>
      <c r="U423" s="96" t="s">
        <v>35</v>
      </c>
      <c r="V423" s="192">
        <v>44764</v>
      </c>
      <c r="W423" s="186" t="e">
        <f t="shared" si="182"/>
        <v>#VALUE!</v>
      </c>
      <c r="X423" s="99" t="e">
        <f t="shared" si="183"/>
        <v>#VALUE!</v>
      </c>
      <c r="Y423" s="99" t="s">
        <v>1317</v>
      </c>
      <c r="Z423" s="99" t="s">
        <v>168</v>
      </c>
      <c r="AA423" s="99" t="s">
        <v>169</v>
      </c>
      <c r="AB423" s="96"/>
      <c r="AC423" s="99"/>
      <c r="AD423" s="97">
        <v>44818</v>
      </c>
      <c r="AE423" s="183" t="s">
        <v>4262</v>
      </c>
      <c r="AF423" s="183"/>
      <c r="AG423" s="186">
        <f t="shared" si="185"/>
        <v>55</v>
      </c>
      <c r="AH423" s="187">
        <f t="shared" si="186"/>
        <v>54</v>
      </c>
      <c r="AI423" s="99" t="s">
        <v>146</v>
      </c>
      <c r="AJ423" s="96" t="s">
        <v>171</v>
      </c>
      <c r="AK423" s="96" t="s">
        <v>3756</v>
      </c>
      <c r="AL423" s="97">
        <v>44798</v>
      </c>
      <c r="AM423" s="204">
        <v>247875096</v>
      </c>
      <c r="AN423" s="96" t="s">
        <v>1849</v>
      </c>
      <c r="AO423" s="99"/>
      <c r="AP423" s="181">
        <f t="shared" ref="AP423:AP424" si="187">+K423-AM423</f>
        <v>13046208</v>
      </c>
      <c r="AQ423" s="193"/>
      <c r="AR423" s="193"/>
      <c r="AS423" s="99"/>
      <c r="AT423" s="99"/>
      <c r="AU423" s="193"/>
      <c r="AV423" s="99" t="s">
        <v>1001</v>
      </c>
      <c r="AW423" s="99" t="s">
        <v>1002</v>
      </c>
      <c r="AX423" s="96" t="s">
        <v>2379</v>
      </c>
      <c r="AY423" s="167">
        <f t="shared" ref="AY423:AY424" si="188">+AP423/K423</f>
        <v>5.0000547291454589E-2</v>
      </c>
      <c r="AZ423" s="139">
        <f t="shared" si="178"/>
        <v>1</v>
      </c>
      <c r="BA423" s="139">
        <f>IF(T423="Invitación Privada",1,IF(T423="Invitación Pública",2,0))</f>
        <v>0</v>
      </c>
      <c r="BB423" s="132">
        <f>IF(AA423="CONTRATADO",IF(BA423=1,NETWORKDAYS.INTL(E423,AD423,1,[1]FESTIVOS!$B$3:$B$10)-1,AD423-E423))-BD423</f>
        <v>55</v>
      </c>
      <c r="BD423" s="207"/>
      <c r="BE423" s="208"/>
    </row>
    <row r="424" spans="2:57" ht="43.9" customHeight="1" x14ac:dyDescent="0.25">
      <c r="B424" s="100">
        <f t="shared" si="175"/>
        <v>406</v>
      </c>
      <c r="C424" s="110" t="s">
        <v>2748</v>
      </c>
      <c r="D424" s="99" t="s">
        <v>28</v>
      </c>
      <c r="E424" s="142">
        <v>44763</v>
      </c>
      <c r="F424" s="268" t="s">
        <v>4437</v>
      </c>
      <c r="G424" s="96" t="s">
        <v>2749</v>
      </c>
      <c r="H424" s="96" t="s">
        <v>2750</v>
      </c>
      <c r="I424" s="96" t="s">
        <v>1224</v>
      </c>
      <c r="J424" s="133" t="s">
        <v>2751</v>
      </c>
      <c r="K424" s="343">
        <v>1669573522</v>
      </c>
      <c r="L424" s="96" t="s">
        <v>2359</v>
      </c>
      <c r="M424" s="99" t="s">
        <v>146</v>
      </c>
      <c r="N424" s="99"/>
      <c r="O424" s="99">
        <v>202204475</v>
      </c>
      <c r="P424" s="168">
        <v>1669573522</v>
      </c>
      <c r="Q424" s="96" t="s">
        <v>146</v>
      </c>
      <c r="R424" s="96" t="s">
        <v>146</v>
      </c>
      <c r="S424" s="99" t="s">
        <v>146</v>
      </c>
      <c r="T424" s="96" t="s">
        <v>230</v>
      </c>
      <c r="U424" s="96" t="s">
        <v>29</v>
      </c>
      <c r="V424" s="119">
        <v>44764</v>
      </c>
      <c r="W424" s="170">
        <v>55</v>
      </c>
      <c r="X424" s="99">
        <v>54</v>
      </c>
      <c r="Y424" s="99" t="s">
        <v>1317</v>
      </c>
      <c r="Z424" s="99" t="s">
        <v>168</v>
      </c>
      <c r="AA424" s="99" t="s">
        <v>169</v>
      </c>
      <c r="AB424" s="96" t="s">
        <v>2752</v>
      </c>
      <c r="AC424" s="99"/>
      <c r="AD424" s="97">
        <v>44804</v>
      </c>
      <c r="AE424" s="183" t="s">
        <v>4438</v>
      </c>
      <c r="AF424" s="171"/>
      <c r="AG424" s="170">
        <v>41</v>
      </c>
      <c r="AH424" s="144">
        <v>40</v>
      </c>
      <c r="AI424" s="99" t="s">
        <v>146</v>
      </c>
      <c r="AJ424" s="96" t="s">
        <v>491</v>
      </c>
      <c r="AK424" s="96" t="s">
        <v>3452</v>
      </c>
      <c r="AL424" s="97">
        <v>44797</v>
      </c>
      <c r="AM424" s="204">
        <v>1604867981</v>
      </c>
      <c r="AN424" s="96" t="s">
        <v>3453</v>
      </c>
      <c r="AO424" s="96" t="s">
        <v>3454</v>
      </c>
      <c r="AP424" s="181">
        <f t="shared" si="187"/>
        <v>64705541</v>
      </c>
      <c r="AQ424" s="138"/>
      <c r="AR424" s="138"/>
      <c r="AS424" s="99"/>
      <c r="AT424" s="99"/>
      <c r="AU424" s="138"/>
      <c r="AV424" s="99"/>
      <c r="AW424" s="99"/>
      <c r="AX424" s="96" t="s">
        <v>2457</v>
      </c>
      <c r="AY424" s="167">
        <f t="shared" si="188"/>
        <v>3.8755730219348798E-2</v>
      </c>
      <c r="AZ424" s="139">
        <f t="shared" si="178"/>
        <v>1</v>
      </c>
      <c r="BA424" s="139">
        <f>IF(T424="Invitación Privada",1,IF(T424="Invitación Pública",2,0))</f>
        <v>0</v>
      </c>
      <c r="BB424" s="132">
        <f>IF(AA424="CONTRATADO",IF(BA424=1,NETWORKDAYS.INTL(E424,AD424,1,[1]FESTIVOS!$B$3:$B$10)-1,AD424-E424))-BD424</f>
        <v>41</v>
      </c>
      <c r="BC424" s="156"/>
      <c r="BD424" s="162"/>
      <c r="BE424" s="163"/>
    </row>
    <row r="425" spans="2:57" ht="43.9" customHeight="1" x14ac:dyDescent="0.25">
      <c r="B425" s="100">
        <f t="shared" si="175"/>
        <v>407</v>
      </c>
      <c r="C425" s="293" t="s">
        <v>2753</v>
      </c>
      <c r="D425" s="265" t="s">
        <v>28</v>
      </c>
      <c r="E425" s="272">
        <v>44763</v>
      </c>
      <c r="F425" s="268" t="s">
        <v>4437</v>
      </c>
      <c r="G425" s="269" t="s">
        <v>2754</v>
      </c>
      <c r="H425" s="265" t="s">
        <v>2755</v>
      </c>
      <c r="I425" s="265" t="s">
        <v>146</v>
      </c>
      <c r="J425" s="269" t="s">
        <v>2756</v>
      </c>
      <c r="K425" s="342">
        <v>99967140</v>
      </c>
      <c r="L425" s="282"/>
      <c r="M425" s="265" t="s">
        <v>4026</v>
      </c>
      <c r="N425" s="302" t="str">
        <f>MID(M425,5,3)</f>
        <v>IP-</v>
      </c>
      <c r="O425" s="265">
        <v>202201991</v>
      </c>
      <c r="P425" s="271"/>
      <c r="Q425" s="265" t="s">
        <v>146</v>
      </c>
      <c r="R425" s="265" t="s">
        <v>146</v>
      </c>
      <c r="S425" s="265" t="s">
        <v>146</v>
      </c>
      <c r="T425" s="111" t="s">
        <v>43</v>
      </c>
      <c r="U425" s="269" t="s">
        <v>452</v>
      </c>
      <c r="V425" s="285">
        <v>44769</v>
      </c>
      <c r="W425" s="303" t="e">
        <f>+$D$4-E425</f>
        <v>#VALUE!</v>
      </c>
      <c r="X425" s="303" t="e">
        <f>$D$4-V425</f>
        <v>#VALUE!</v>
      </c>
      <c r="Y425" s="265" t="s">
        <v>1300</v>
      </c>
      <c r="Z425" s="265" t="s">
        <v>214</v>
      </c>
      <c r="AA425" s="265" t="s">
        <v>215</v>
      </c>
      <c r="AB425" s="265"/>
      <c r="AC425" s="304" t="s">
        <v>2715</v>
      </c>
      <c r="AD425" s="272">
        <v>44819</v>
      </c>
      <c r="AE425" s="272"/>
      <c r="AF425" s="305" t="str">
        <f>+IF(AD425="","",TEXT(AD425,"mmm"))</f>
        <v>sep</v>
      </c>
      <c r="AG425" s="306">
        <f>+AD425-E425</f>
        <v>56</v>
      </c>
      <c r="AH425" s="307">
        <f>+AD425-V425</f>
        <v>50</v>
      </c>
      <c r="AI425" s="265" t="s">
        <v>258</v>
      </c>
      <c r="AJ425" s="265" t="s">
        <v>171</v>
      </c>
      <c r="AK425" s="265"/>
      <c r="AL425" s="265"/>
      <c r="AM425" s="309"/>
      <c r="AN425" s="269"/>
      <c r="AO425" s="265"/>
      <c r="AP425" s="309"/>
      <c r="AQ425" s="289"/>
      <c r="AR425" s="269"/>
      <c r="AS425" s="265"/>
      <c r="AT425" s="260"/>
      <c r="AU425" s="260"/>
      <c r="AV425" s="200"/>
      <c r="AW425" s="200"/>
      <c r="AX425" s="200"/>
      <c r="AY425" s="200"/>
      <c r="AZ425" s="139">
        <f t="shared" si="178"/>
        <v>1</v>
      </c>
      <c r="BA425" s="200"/>
      <c r="BB425" s="203"/>
      <c r="BC425" s="95"/>
      <c r="BD425" s="2"/>
      <c r="BE425" s="2"/>
    </row>
    <row r="426" spans="2:57" ht="43.9" customHeight="1" x14ac:dyDescent="0.25">
      <c r="B426" s="100">
        <f t="shared" si="175"/>
        <v>408</v>
      </c>
      <c r="C426" s="293" t="s">
        <v>2757</v>
      </c>
      <c r="D426" s="265" t="s">
        <v>28</v>
      </c>
      <c r="E426" s="272">
        <v>44763</v>
      </c>
      <c r="F426" s="268" t="s">
        <v>4437</v>
      </c>
      <c r="G426" s="269" t="s">
        <v>2758</v>
      </c>
      <c r="H426" s="265" t="s">
        <v>2759</v>
      </c>
      <c r="I426" s="265" t="s">
        <v>146</v>
      </c>
      <c r="J426" s="269" t="s">
        <v>2760</v>
      </c>
      <c r="K426" s="342">
        <v>119994840</v>
      </c>
      <c r="L426" s="282"/>
      <c r="M426" s="265" t="s">
        <v>2761</v>
      </c>
      <c r="N426" s="302" t="str">
        <f>MID(M426,5,3)</f>
        <v>IP-</v>
      </c>
      <c r="O426" s="265">
        <v>202201992</v>
      </c>
      <c r="P426" s="271"/>
      <c r="Q426" s="265" t="s">
        <v>146</v>
      </c>
      <c r="R426" s="265" t="s">
        <v>146</v>
      </c>
      <c r="S426" s="265" t="s">
        <v>146</v>
      </c>
      <c r="T426" s="111" t="s">
        <v>43</v>
      </c>
      <c r="U426" s="269" t="s">
        <v>452</v>
      </c>
      <c r="V426" s="285">
        <v>44769</v>
      </c>
      <c r="W426" s="303" t="e">
        <f>+$D$4-E426</f>
        <v>#VALUE!</v>
      </c>
      <c r="X426" s="303" t="e">
        <f>$D$4-V426</f>
        <v>#VALUE!</v>
      </c>
      <c r="Y426" s="265" t="s">
        <v>1300</v>
      </c>
      <c r="Z426" s="265" t="s">
        <v>152</v>
      </c>
      <c r="AA426" s="265" t="s">
        <v>153</v>
      </c>
      <c r="AB426" s="265"/>
      <c r="AC426" s="304" t="s">
        <v>2715</v>
      </c>
      <c r="AD426" s="272">
        <v>44834</v>
      </c>
      <c r="AE426" s="265"/>
      <c r="AF426" s="305" t="str">
        <f>+IF(AD426="","",TEXT(AD426,"mmm"))</f>
        <v>sep</v>
      </c>
      <c r="AG426" s="306">
        <f>+AD426-E426</f>
        <v>71</v>
      </c>
      <c r="AH426" s="307">
        <f>+AD426-V426</f>
        <v>65</v>
      </c>
      <c r="AI426" s="265"/>
      <c r="AJ426" s="265" t="s">
        <v>171</v>
      </c>
      <c r="AK426" s="265"/>
      <c r="AL426" s="265"/>
      <c r="AM426" s="265"/>
      <c r="AN426" s="309"/>
      <c r="AO426" s="269"/>
      <c r="AP426" s="265"/>
      <c r="AQ426" s="309"/>
      <c r="AR426" s="289"/>
      <c r="AS426" s="269"/>
      <c r="AT426" s="265"/>
      <c r="AU426" s="260"/>
      <c r="AV426" s="260"/>
      <c r="AW426" s="200"/>
      <c r="AX426" s="200"/>
      <c r="AY426" s="200"/>
      <c r="AZ426" s="139">
        <f t="shared" si="178"/>
        <v>1</v>
      </c>
      <c r="BA426" s="200"/>
      <c r="BB426" s="200"/>
      <c r="BC426" s="3"/>
      <c r="BD426" s="95"/>
      <c r="BE426" s="2"/>
    </row>
    <row r="427" spans="2:57" ht="43.9" customHeight="1" x14ac:dyDescent="0.25">
      <c r="B427" s="100">
        <f t="shared" si="175"/>
        <v>409</v>
      </c>
      <c r="C427" s="110" t="s">
        <v>2762</v>
      </c>
      <c r="D427" s="99" t="s">
        <v>28</v>
      </c>
      <c r="E427" s="189">
        <v>44763</v>
      </c>
      <c r="F427" s="268" t="s">
        <v>4437</v>
      </c>
      <c r="G427" s="96" t="s">
        <v>2763</v>
      </c>
      <c r="H427" s="96" t="s">
        <v>2764</v>
      </c>
      <c r="I427" s="96" t="s">
        <v>146</v>
      </c>
      <c r="J427" s="133" t="s">
        <v>2765</v>
      </c>
      <c r="K427" s="344">
        <v>470000000</v>
      </c>
      <c r="L427" s="96" t="s">
        <v>228</v>
      </c>
      <c r="M427" s="99" t="s">
        <v>2766</v>
      </c>
      <c r="N427" s="99"/>
      <c r="O427" s="99">
        <v>202204480</v>
      </c>
      <c r="P427" s="185">
        <v>470000000</v>
      </c>
      <c r="Q427" s="96" t="s">
        <v>146</v>
      </c>
      <c r="R427" s="96" t="s">
        <v>146</v>
      </c>
      <c r="S427" s="99" t="s">
        <v>146</v>
      </c>
      <c r="T427" s="111" t="s">
        <v>43</v>
      </c>
      <c r="U427" s="96" t="s">
        <v>187</v>
      </c>
      <c r="V427" s="192">
        <v>44771</v>
      </c>
      <c r="W427" s="186" t="e">
        <f>+$D$4-E427</f>
        <v>#VALUE!</v>
      </c>
      <c r="X427" s="99" t="e">
        <f>$D$4-V427</f>
        <v>#VALUE!</v>
      </c>
      <c r="Y427" s="99" t="s">
        <v>1317</v>
      </c>
      <c r="Z427" s="99" t="s">
        <v>168</v>
      </c>
      <c r="AA427" s="99" t="s">
        <v>169</v>
      </c>
      <c r="AB427" s="96" t="s">
        <v>2737</v>
      </c>
      <c r="AC427" s="99"/>
      <c r="AD427" s="97">
        <v>44813</v>
      </c>
      <c r="AE427" s="183" t="s">
        <v>4262</v>
      </c>
      <c r="AF427" s="183"/>
      <c r="AG427" s="186">
        <f>+AD427-E427</f>
        <v>50</v>
      </c>
      <c r="AH427" s="187">
        <f>+AD427-V427</f>
        <v>42</v>
      </c>
      <c r="AI427" s="99" t="s">
        <v>258</v>
      </c>
      <c r="AJ427" s="96" t="s">
        <v>171</v>
      </c>
      <c r="AK427" s="99" t="s">
        <v>3757</v>
      </c>
      <c r="AL427" s="97">
        <v>44806</v>
      </c>
      <c r="AM427" s="204">
        <v>469113156</v>
      </c>
      <c r="AN427" s="96" t="s">
        <v>315</v>
      </c>
      <c r="AO427" s="99">
        <v>202208320</v>
      </c>
      <c r="AP427" s="181">
        <f t="shared" ref="AP427:AP431" si="189">+K427-AM427</f>
        <v>886844</v>
      </c>
      <c r="AQ427" s="193"/>
      <c r="AR427" s="193"/>
      <c r="AS427" s="99"/>
      <c r="AT427" s="99"/>
      <c r="AU427" s="193"/>
      <c r="AV427" s="99" t="s">
        <v>174</v>
      </c>
      <c r="AW427" s="99" t="s">
        <v>175</v>
      </c>
      <c r="AX427" s="96" t="s">
        <v>2767</v>
      </c>
      <c r="AY427" s="167">
        <f t="shared" ref="AY427:AY431" si="190">+AP427/K427</f>
        <v>1.8869021276595745E-3</v>
      </c>
      <c r="AZ427" s="139">
        <f t="shared" si="178"/>
        <v>1</v>
      </c>
      <c r="BA427" s="139">
        <f>IF(T427="Invitación Privada",1,IF(T427="Invitación Pública",2,0))</f>
        <v>1</v>
      </c>
      <c r="BB427" s="132">
        <f>IF(AA427="CONTRATADO",IF(BA427=1,NETWORKDAYS.INTL(E427,AD427,1,[1]FESTIVOS!$B$3:$B$10)-1,AD427-E427))-BD427</f>
        <v>36</v>
      </c>
      <c r="BD427" s="207"/>
      <c r="BE427" s="208"/>
    </row>
    <row r="428" spans="2:57" ht="43.9" customHeight="1" x14ac:dyDescent="0.25">
      <c r="B428" s="100">
        <f t="shared" si="175"/>
        <v>410</v>
      </c>
      <c r="C428" s="110" t="s">
        <v>2768</v>
      </c>
      <c r="D428" s="99" t="s">
        <v>28</v>
      </c>
      <c r="E428" s="142">
        <v>44763</v>
      </c>
      <c r="F428" s="268" t="s">
        <v>4437</v>
      </c>
      <c r="G428" s="143" t="s">
        <v>255</v>
      </c>
      <c r="H428" s="96" t="s">
        <v>1292</v>
      </c>
      <c r="I428" s="96" t="s">
        <v>146</v>
      </c>
      <c r="J428" s="133" t="s">
        <v>2769</v>
      </c>
      <c r="K428" s="343">
        <v>149539291</v>
      </c>
      <c r="L428" s="96" t="s">
        <v>2359</v>
      </c>
      <c r="M428" s="99" t="s">
        <v>2770</v>
      </c>
      <c r="N428" s="99"/>
      <c r="O428" s="99">
        <v>202201834</v>
      </c>
      <c r="P428" s="169"/>
      <c r="Q428" s="96" t="s">
        <v>146</v>
      </c>
      <c r="R428" s="96" t="s">
        <v>146</v>
      </c>
      <c r="S428" s="99" t="s">
        <v>146</v>
      </c>
      <c r="T428" s="111" t="s">
        <v>43</v>
      </c>
      <c r="U428" s="96" t="s">
        <v>277</v>
      </c>
      <c r="V428" s="119">
        <v>44777</v>
      </c>
      <c r="W428" s="170">
        <v>55</v>
      </c>
      <c r="X428" s="99">
        <v>41</v>
      </c>
      <c r="Y428" s="99" t="s">
        <v>1317</v>
      </c>
      <c r="Z428" s="99" t="s">
        <v>168</v>
      </c>
      <c r="AA428" s="99" t="s">
        <v>169</v>
      </c>
      <c r="AB428" s="96" t="s">
        <v>2771</v>
      </c>
      <c r="AC428" s="99"/>
      <c r="AD428" s="97">
        <v>44804</v>
      </c>
      <c r="AE428" s="183" t="s">
        <v>4438</v>
      </c>
      <c r="AF428" s="171"/>
      <c r="AG428" s="170">
        <v>41</v>
      </c>
      <c r="AH428" s="144">
        <v>27</v>
      </c>
      <c r="AI428" s="99" t="s">
        <v>258</v>
      </c>
      <c r="AJ428" s="96" t="s">
        <v>171</v>
      </c>
      <c r="AK428" s="99" t="s">
        <v>3455</v>
      </c>
      <c r="AL428" s="97">
        <v>44783</v>
      </c>
      <c r="AM428" s="204">
        <v>149539291</v>
      </c>
      <c r="AN428" s="96" t="s">
        <v>3456</v>
      </c>
      <c r="AO428" s="99">
        <v>202207799</v>
      </c>
      <c r="AP428" s="181">
        <f t="shared" si="189"/>
        <v>0</v>
      </c>
      <c r="AQ428" s="138"/>
      <c r="AR428" s="138"/>
      <c r="AS428" s="99"/>
      <c r="AT428" s="99"/>
      <c r="AU428" s="138"/>
      <c r="AV428" s="99" t="s">
        <v>1001</v>
      </c>
      <c r="AW428" s="99" t="s">
        <v>1002</v>
      </c>
      <c r="AX428" s="96" t="s">
        <v>2382</v>
      </c>
      <c r="AY428" s="167">
        <f t="shared" si="190"/>
        <v>0</v>
      </c>
      <c r="AZ428" s="139">
        <f t="shared" si="178"/>
        <v>1</v>
      </c>
      <c r="BA428" s="139">
        <f>IF(T428="Invitación Privada",1,IF(T428="Invitación Pública",2,0))</f>
        <v>1</v>
      </c>
      <c r="BB428" s="132">
        <f>IF(AA428="CONTRATADO",IF(BA428=1,NETWORKDAYS.INTL(E428,AD428,1,[1]FESTIVOS!$B$3:$B$10)-1,AD428-E428))-BD428</f>
        <v>29</v>
      </c>
      <c r="BC428" s="156"/>
      <c r="BD428" s="162"/>
      <c r="BE428" s="163"/>
    </row>
    <row r="429" spans="2:57" ht="43.9" customHeight="1" x14ac:dyDescent="0.25">
      <c r="B429" s="100">
        <f t="shared" si="175"/>
        <v>411</v>
      </c>
      <c r="C429" s="110" t="s">
        <v>2772</v>
      </c>
      <c r="D429" s="99" t="s">
        <v>359</v>
      </c>
      <c r="E429" s="142">
        <v>44764</v>
      </c>
      <c r="F429" s="268" t="s">
        <v>4437</v>
      </c>
      <c r="G429" s="143" t="s">
        <v>255</v>
      </c>
      <c r="H429" s="96" t="s">
        <v>1957</v>
      </c>
      <c r="I429" s="96" t="s">
        <v>146</v>
      </c>
      <c r="J429" s="133" t="s">
        <v>1958</v>
      </c>
      <c r="K429" s="343">
        <v>295048440</v>
      </c>
      <c r="L429" s="96" t="s">
        <v>3457</v>
      </c>
      <c r="M429" s="99" t="s">
        <v>3506</v>
      </c>
      <c r="N429" s="99"/>
      <c r="O429" s="99" t="s">
        <v>1959</v>
      </c>
      <c r="P429" s="169">
        <v>295048440</v>
      </c>
      <c r="Q429" s="96" t="s">
        <v>146</v>
      </c>
      <c r="R429" s="96" t="s">
        <v>146</v>
      </c>
      <c r="S429" s="99" t="s">
        <v>146</v>
      </c>
      <c r="T429" s="111" t="s">
        <v>43</v>
      </c>
      <c r="U429" s="96" t="s">
        <v>312</v>
      </c>
      <c r="V429" s="119">
        <v>44764</v>
      </c>
      <c r="W429" s="170">
        <v>54</v>
      </c>
      <c r="X429" s="99">
        <v>54</v>
      </c>
      <c r="Y429" s="99" t="s">
        <v>1317</v>
      </c>
      <c r="Z429" s="99" t="s">
        <v>168</v>
      </c>
      <c r="AA429" s="99" t="s">
        <v>169</v>
      </c>
      <c r="AB429" s="96" t="s">
        <v>2773</v>
      </c>
      <c r="AC429" s="99"/>
      <c r="AD429" s="97">
        <v>44799</v>
      </c>
      <c r="AE429" s="183" t="s">
        <v>4438</v>
      </c>
      <c r="AF429" s="171"/>
      <c r="AG429" s="170">
        <v>35</v>
      </c>
      <c r="AH429" s="144">
        <v>35</v>
      </c>
      <c r="AI429" s="99" t="s">
        <v>258</v>
      </c>
      <c r="AJ429" s="96" t="s">
        <v>171</v>
      </c>
      <c r="AK429" s="99" t="s">
        <v>3458</v>
      </c>
      <c r="AL429" s="97">
        <v>44796</v>
      </c>
      <c r="AM429" s="204">
        <v>279925485</v>
      </c>
      <c r="AN429" s="96" t="s">
        <v>3459</v>
      </c>
      <c r="AO429" s="99">
        <v>202207894</v>
      </c>
      <c r="AP429" s="181">
        <f t="shared" si="189"/>
        <v>15122955</v>
      </c>
      <c r="AQ429" s="138"/>
      <c r="AR429" s="138"/>
      <c r="AS429" s="99"/>
      <c r="AT429" s="99"/>
      <c r="AU429" s="138"/>
      <c r="AV429" s="99" t="s">
        <v>1000</v>
      </c>
      <c r="AW429" s="99" t="s">
        <v>175</v>
      </c>
      <c r="AX429" s="96" t="s">
        <v>359</v>
      </c>
      <c r="AY429" s="167">
        <f t="shared" si="190"/>
        <v>5.1255837854963751E-2</v>
      </c>
      <c r="AZ429" s="139">
        <f t="shared" si="178"/>
        <v>0</v>
      </c>
      <c r="BA429" s="139">
        <f>IF(T429="Invitación Privada",1,IF(T429="Invitación Pública",2,0))</f>
        <v>1</v>
      </c>
      <c r="BB429" s="132">
        <f>IF(AA429="CONTRATADO",IF(BA429=1,NETWORKDAYS.INTL(E429,AD429,1,[1]FESTIVOS!$B$3:$B$10)-1,AD429-E429))-BD429</f>
        <v>25</v>
      </c>
      <c r="BC429" s="156"/>
      <c r="BD429" s="162"/>
      <c r="BE429" s="163"/>
    </row>
    <row r="430" spans="2:57" ht="43.9" customHeight="1" x14ac:dyDescent="0.25">
      <c r="B430" s="100">
        <f t="shared" si="175"/>
        <v>412</v>
      </c>
      <c r="C430" s="110" t="s">
        <v>2774</v>
      </c>
      <c r="D430" s="99" t="s">
        <v>32</v>
      </c>
      <c r="E430" s="142">
        <v>44764</v>
      </c>
      <c r="F430" s="268" t="s">
        <v>4437</v>
      </c>
      <c r="G430" s="143" t="s">
        <v>255</v>
      </c>
      <c r="H430" s="96" t="s">
        <v>594</v>
      </c>
      <c r="I430" s="96" t="s">
        <v>146</v>
      </c>
      <c r="J430" s="133" t="s">
        <v>1359</v>
      </c>
      <c r="K430" s="343">
        <v>62492850</v>
      </c>
      <c r="L430" s="96" t="s">
        <v>549</v>
      </c>
      <c r="M430" s="99" t="s">
        <v>2775</v>
      </c>
      <c r="N430" s="99"/>
      <c r="O430" s="99">
        <v>202201684</v>
      </c>
      <c r="P430" s="169"/>
      <c r="Q430" s="96" t="s">
        <v>146</v>
      </c>
      <c r="R430" s="96" t="s">
        <v>146</v>
      </c>
      <c r="S430" s="99" t="s">
        <v>146</v>
      </c>
      <c r="T430" s="111" t="s">
        <v>43</v>
      </c>
      <c r="U430" s="96" t="s">
        <v>452</v>
      </c>
      <c r="V430" s="119">
        <v>44764</v>
      </c>
      <c r="W430" s="170">
        <v>54</v>
      </c>
      <c r="X430" s="99">
        <v>54</v>
      </c>
      <c r="Y430" s="99" t="s">
        <v>1317</v>
      </c>
      <c r="Z430" s="99" t="s">
        <v>168</v>
      </c>
      <c r="AA430" s="99" t="s">
        <v>169</v>
      </c>
      <c r="AB430" s="96" t="s">
        <v>2776</v>
      </c>
      <c r="AC430" s="99"/>
      <c r="AD430" s="97">
        <v>44795</v>
      </c>
      <c r="AE430" s="183" t="s">
        <v>4438</v>
      </c>
      <c r="AF430" s="171"/>
      <c r="AG430" s="170">
        <v>31</v>
      </c>
      <c r="AH430" s="144">
        <v>31</v>
      </c>
      <c r="AI430" s="99" t="s">
        <v>258</v>
      </c>
      <c r="AJ430" s="96" t="s">
        <v>171</v>
      </c>
      <c r="AK430" s="99" t="s">
        <v>3460</v>
      </c>
      <c r="AL430" s="97">
        <v>44781</v>
      </c>
      <c r="AM430" s="204">
        <v>62490471</v>
      </c>
      <c r="AN430" s="96" t="s">
        <v>3461</v>
      </c>
      <c r="AO430" s="99">
        <v>202207847</v>
      </c>
      <c r="AP430" s="181">
        <f t="shared" si="189"/>
        <v>2379</v>
      </c>
      <c r="AQ430" s="138"/>
      <c r="AR430" s="138"/>
      <c r="AS430" s="99"/>
      <c r="AT430" s="99"/>
      <c r="AU430" s="138"/>
      <c r="AV430" s="99" t="s">
        <v>1000</v>
      </c>
      <c r="AW430" s="99" t="s">
        <v>175</v>
      </c>
      <c r="AX430" s="96" t="s">
        <v>2383</v>
      </c>
      <c r="AY430" s="167">
        <f t="shared" si="190"/>
        <v>3.8068355019814269E-5</v>
      </c>
      <c r="AZ430" s="139">
        <f t="shared" si="178"/>
        <v>1</v>
      </c>
      <c r="BA430" s="139">
        <f>IF(T430="Invitación Privada",1,IF(T430="Invitación Pública",2,0))</f>
        <v>1</v>
      </c>
      <c r="BB430" s="132">
        <f>IF(AA430="CONTRATADO",IF(BA430=1,NETWORKDAYS.INTL(E430,AD430,1,[1]FESTIVOS!$B$3:$B$10)-1,AD430-E430))-BD430</f>
        <v>21</v>
      </c>
      <c r="BC430" s="156"/>
      <c r="BD430" s="162"/>
      <c r="BE430" s="163"/>
    </row>
    <row r="431" spans="2:57" ht="43.9" customHeight="1" x14ac:dyDescent="0.25">
      <c r="B431" s="100">
        <f t="shared" si="175"/>
        <v>413</v>
      </c>
      <c r="C431" s="110" t="s">
        <v>2777</v>
      </c>
      <c r="D431" s="99" t="s">
        <v>332</v>
      </c>
      <c r="E431" s="189">
        <v>44764</v>
      </c>
      <c r="F431" s="268" t="s">
        <v>4437</v>
      </c>
      <c r="G431" s="96" t="s">
        <v>2778</v>
      </c>
      <c r="H431" s="96" t="s">
        <v>2779</v>
      </c>
      <c r="I431" s="96" t="s">
        <v>465</v>
      </c>
      <c r="J431" s="133" t="s">
        <v>2780</v>
      </c>
      <c r="K431" s="344">
        <v>299978782</v>
      </c>
      <c r="L431" s="96" t="s">
        <v>228</v>
      </c>
      <c r="M431" s="99" t="s">
        <v>146</v>
      </c>
      <c r="N431" s="99"/>
      <c r="O431" s="99">
        <v>202202408</v>
      </c>
      <c r="P431" s="185">
        <v>300000000</v>
      </c>
      <c r="Q431" s="96" t="s">
        <v>146</v>
      </c>
      <c r="R431" s="96" t="s">
        <v>146</v>
      </c>
      <c r="S431" s="99" t="s">
        <v>146</v>
      </c>
      <c r="T431" s="96" t="s">
        <v>230</v>
      </c>
      <c r="U431" s="96" t="s">
        <v>35</v>
      </c>
      <c r="V431" s="192">
        <v>44764</v>
      </c>
      <c r="W431" s="186" t="e">
        <f>+$D$4-E431</f>
        <v>#VALUE!</v>
      </c>
      <c r="X431" s="99" t="e">
        <f>$D$4-V431</f>
        <v>#VALUE!</v>
      </c>
      <c r="Y431" s="99" t="s">
        <v>1317</v>
      </c>
      <c r="Z431" s="99" t="s">
        <v>168</v>
      </c>
      <c r="AA431" s="99" t="s">
        <v>169</v>
      </c>
      <c r="AB431" s="96"/>
      <c r="AC431" s="99"/>
      <c r="AD431" s="97">
        <v>44817</v>
      </c>
      <c r="AE431" s="183" t="s">
        <v>4262</v>
      </c>
      <c r="AF431" s="183"/>
      <c r="AG431" s="186">
        <f>+AD431-E431</f>
        <v>53</v>
      </c>
      <c r="AH431" s="187">
        <f>+AD431-V431</f>
        <v>53</v>
      </c>
      <c r="AI431" s="99" t="s">
        <v>146</v>
      </c>
      <c r="AJ431" s="96" t="s">
        <v>171</v>
      </c>
      <c r="AK431" s="96" t="s">
        <v>3758</v>
      </c>
      <c r="AL431" s="97">
        <v>44811</v>
      </c>
      <c r="AM431" s="204">
        <v>284979354</v>
      </c>
      <c r="AN431" s="96" t="s">
        <v>3759</v>
      </c>
      <c r="AO431" s="99"/>
      <c r="AP431" s="181">
        <f t="shared" si="189"/>
        <v>14999428</v>
      </c>
      <c r="AQ431" s="193"/>
      <c r="AR431" s="193"/>
      <c r="AS431" s="99"/>
      <c r="AT431" s="99"/>
      <c r="AU431" s="193"/>
      <c r="AV431" s="99" t="s">
        <v>174</v>
      </c>
      <c r="AW431" s="99" t="s">
        <v>175</v>
      </c>
      <c r="AX431" s="96" t="s">
        <v>2719</v>
      </c>
      <c r="AY431" s="167">
        <f t="shared" si="190"/>
        <v>5.0001629781935709E-2</v>
      </c>
      <c r="AZ431" s="139">
        <f t="shared" si="178"/>
        <v>0</v>
      </c>
      <c r="BA431" s="139">
        <f>IF(T431="Invitación Privada",1,IF(T431="Invitación Pública",2,0))</f>
        <v>0</v>
      </c>
      <c r="BB431" s="132">
        <f>IF(AA431="CONTRATADO",IF(BA431=1,NETWORKDAYS.INTL(E431,AD431,1,[1]FESTIVOS!$B$3:$B$10)-1,AD431-E431))-BD431</f>
        <v>53</v>
      </c>
      <c r="BD431" s="207"/>
      <c r="BE431" s="208"/>
    </row>
    <row r="432" spans="2:57" ht="43.9" customHeight="1" x14ac:dyDescent="0.25">
      <c r="B432" s="100">
        <f t="shared" si="175"/>
        <v>414</v>
      </c>
      <c r="C432" s="293" t="s">
        <v>2781</v>
      </c>
      <c r="D432" s="265" t="s">
        <v>332</v>
      </c>
      <c r="E432" s="272">
        <v>44764</v>
      </c>
      <c r="F432" s="268" t="s">
        <v>4437</v>
      </c>
      <c r="G432" s="269" t="s">
        <v>2782</v>
      </c>
      <c r="H432" s="265" t="s">
        <v>2783</v>
      </c>
      <c r="I432" s="265" t="s">
        <v>146</v>
      </c>
      <c r="J432" s="269" t="s">
        <v>2784</v>
      </c>
      <c r="K432" s="342">
        <v>118510110</v>
      </c>
      <c r="L432" s="282"/>
      <c r="M432" s="265" t="s">
        <v>2785</v>
      </c>
      <c r="N432" s="302" t="str">
        <f>MID(M432,5,3)</f>
        <v>IP-</v>
      </c>
      <c r="O432" s="265" t="s">
        <v>2786</v>
      </c>
      <c r="P432" s="271"/>
      <c r="Q432" s="265" t="s">
        <v>146</v>
      </c>
      <c r="R432" s="265" t="s">
        <v>146</v>
      </c>
      <c r="S432" s="265" t="s">
        <v>146</v>
      </c>
      <c r="T432" s="111" t="s">
        <v>43</v>
      </c>
      <c r="U432" s="269" t="s">
        <v>277</v>
      </c>
      <c r="V432" s="285">
        <v>44777</v>
      </c>
      <c r="W432" s="303" t="e">
        <f>+$D$4-E432</f>
        <v>#VALUE!</v>
      </c>
      <c r="X432" s="303" t="e">
        <f>$D$4-V432</f>
        <v>#VALUE!</v>
      </c>
      <c r="Y432" s="265" t="s">
        <v>1300</v>
      </c>
      <c r="Z432" s="265" t="s">
        <v>214</v>
      </c>
      <c r="AA432" s="265" t="s">
        <v>215</v>
      </c>
      <c r="AB432" s="265"/>
      <c r="AC432" s="304" t="s">
        <v>3541</v>
      </c>
      <c r="AD432" s="272">
        <v>44819</v>
      </c>
      <c r="AE432" s="265"/>
      <c r="AF432" s="305" t="str">
        <f>+IF(AD432="","",TEXT(AD432,"mmm"))</f>
        <v>sep</v>
      </c>
      <c r="AG432" s="306">
        <f>+AD432-E432</f>
        <v>55</v>
      </c>
      <c r="AH432" s="307">
        <f>+AD432-V432</f>
        <v>42</v>
      </c>
      <c r="AI432" s="265" t="s">
        <v>258</v>
      </c>
      <c r="AJ432" s="265" t="s">
        <v>171</v>
      </c>
      <c r="AK432" s="265"/>
      <c r="AL432" s="265"/>
      <c r="AM432" s="309"/>
      <c r="AN432" s="269"/>
      <c r="AO432" s="265"/>
      <c r="AP432" s="309"/>
      <c r="AQ432" s="289"/>
      <c r="AR432" s="269"/>
      <c r="AS432" s="265"/>
      <c r="AT432" s="260"/>
      <c r="AU432" s="260"/>
      <c r="AV432" s="200"/>
      <c r="AW432" s="200"/>
      <c r="AX432" s="200"/>
      <c r="AY432" s="200"/>
      <c r="AZ432" s="139">
        <f t="shared" si="178"/>
        <v>0</v>
      </c>
      <c r="BA432" s="200"/>
      <c r="BB432" s="203"/>
      <c r="BC432" s="95"/>
      <c r="BD432" s="2"/>
      <c r="BE432" s="2"/>
    </row>
    <row r="433" spans="2:57" ht="43.9" customHeight="1" x14ac:dyDescent="0.25">
      <c r="B433" s="100">
        <f t="shared" si="175"/>
        <v>415</v>
      </c>
      <c r="C433" s="110" t="s">
        <v>2787</v>
      </c>
      <c r="D433" s="99" t="s">
        <v>332</v>
      </c>
      <c r="E433" s="189">
        <v>44764</v>
      </c>
      <c r="F433" s="268" t="s">
        <v>4437</v>
      </c>
      <c r="G433" s="96" t="s">
        <v>2788</v>
      </c>
      <c r="H433" s="96" t="s">
        <v>2789</v>
      </c>
      <c r="I433" s="96" t="s">
        <v>465</v>
      </c>
      <c r="J433" s="133" t="s">
        <v>2790</v>
      </c>
      <c r="K433" s="344">
        <v>570074465</v>
      </c>
      <c r="L433" s="96" t="s">
        <v>228</v>
      </c>
      <c r="M433" s="99" t="s">
        <v>146</v>
      </c>
      <c r="N433" s="99"/>
      <c r="O433" s="99" t="s">
        <v>2791</v>
      </c>
      <c r="P433" s="190">
        <v>570074465</v>
      </c>
      <c r="Q433" s="96" t="s">
        <v>146</v>
      </c>
      <c r="R433" s="96" t="s">
        <v>146</v>
      </c>
      <c r="S433" s="99" t="s">
        <v>146</v>
      </c>
      <c r="T433" s="96" t="s">
        <v>230</v>
      </c>
      <c r="U433" s="96" t="s">
        <v>35</v>
      </c>
      <c r="V433" s="192">
        <v>44764</v>
      </c>
      <c r="W433" s="186" t="e">
        <f>+$D$4-E433</f>
        <v>#VALUE!</v>
      </c>
      <c r="X433" s="99" t="e">
        <f>$D$4-V433</f>
        <v>#VALUE!</v>
      </c>
      <c r="Y433" s="99" t="s">
        <v>1317</v>
      </c>
      <c r="Z433" s="99" t="s">
        <v>168</v>
      </c>
      <c r="AA433" s="99" t="s">
        <v>169</v>
      </c>
      <c r="AB433" s="96"/>
      <c r="AC433" s="99"/>
      <c r="AD433" s="97">
        <v>44824</v>
      </c>
      <c r="AE433" s="183" t="s">
        <v>4262</v>
      </c>
      <c r="AF433" s="183"/>
      <c r="AG433" s="186">
        <f>+AD433-E433</f>
        <v>60</v>
      </c>
      <c r="AH433" s="187">
        <f>+AD433-V433</f>
        <v>60</v>
      </c>
      <c r="AI433" s="194" t="s">
        <v>146</v>
      </c>
      <c r="AJ433" s="96" t="s">
        <v>171</v>
      </c>
      <c r="AK433" s="96" t="s">
        <v>3760</v>
      </c>
      <c r="AL433" s="97">
        <v>44811</v>
      </c>
      <c r="AM433" s="204">
        <v>541573954</v>
      </c>
      <c r="AN433" s="96" t="s">
        <v>3761</v>
      </c>
      <c r="AO433" s="99">
        <v>202208356</v>
      </c>
      <c r="AP433" s="181">
        <f t="shared" ref="AP433:AP435" si="191">+K433-AM433</f>
        <v>28500511</v>
      </c>
      <c r="AQ433" s="193"/>
      <c r="AR433" s="193"/>
      <c r="AS433" s="99"/>
      <c r="AT433" s="99"/>
      <c r="AU433" s="193"/>
      <c r="AV433" s="99" t="s">
        <v>174</v>
      </c>
      <c r="AW433" s="99" t="s">
        <v>175</v>
      </c>
      <c r="AX433" s="96" t="s">
        <v>2719</v>
      </c>
      <c r="AY433" s="167">
        <f t="shared" ref="AY433:AY435" si="192">+AP433/K433</f>
        <v>4.9994365209815178E-2</v>
      </c>
      <c r="AZ433" s="139">
        <f t="shared" si="178"/>
        <v>0</v>
      </c>
      <c r="BA433" s="139">
        <f>IF(T433="Invitación Privada",1,IF(T433="Invitación Pública",2,0))</f>
        <v>0</v>
      </c>
      <c r="BB433" s="132">
        <f>IF(AA433="CONTRATADO",IF(BA433=1,NETWORKDAYS.INTL(E433,AD433,1,[1]FESTIVOS!$B$3:$B$10)-1,AD433-E433))-BD433</f>
        <v>60</v>
      </c>
      <c r="BD433" s="207"/>
      <c r="BE433" s="208"/>
    </row>
    <row r="434" spans="2:57" ht="43.9" customHeight="1" x14ac:dyDescent="0.25">
      <c r="B434" s="100">
        <f t="shared" si="175"/>
        <v>416</v>
      </c>
      <c r="C434" s="110" t="s">
        <v>2792</v>
      </c>
      <c r="D434" s="99" t="s">
        <v>32</v>
      </c>
      <c r="E434" s="142">
        <v>44764</v>
      </c>
      <c r="F434" s="268" t="s">
        <v>4437</v>
      </c>
      <c r="G434" s="143" t="s">
        <v>255</v>
      </c>
      <c r="H434" s="96" t="s">
        <v>1974</v>
      </c>
      <c r="I434" s="96" t="s">
        <v>146</v>
      </c>
      <c r="J434" s="133" t="s">
        <v>1975</v>
      </c>
      <c r="K434" s="343">
        <v>667336173</v>
      </c>
      <c r="L434" s="96" t="s">
        <v>3457</v>
      </c>
      <c r="M434" s="99" t="s">
        <v>2793</v>
      </c>
      <c r="N434" s="99"/>
      <c r="O434" s="99">
        <v>202203902</v>
      </c>
      <c r="P434" s="169"/>
      <c r="Q434" s="96" t="s">
        <v>146</v>
      </c>
      <c r="R434" s="96" t="s">
        <v>146</v>
      </c>
      <c r="S434" s="99" t="s">
        <v>146</v>
      </c>
      <c r="T434" s="111" t="s">
        <v>43</v>
      </c>
      <c r="U434" s="96" t="s">
        <v>452</v>
      </c>
      <c r="V434" s="119">
        <v>44764</v>
      </c>
      <c r="W434" s="170">
        <v>54</v>
      </c>
      <c r="X434" s="99">
        <v>54</v>
      </c>
      <c r="Y434" s="99" t="s">
        <v>1317</v>
      </c>
      <c r="Z434" s="99" t="s">
        <v>168</v>
      </c>
      <c r="AA434" s="99" t="s">
        <v>169</v>
      </c>
      <c r="AB434" s="96" t="s">
        <v>2701</v>
      </c>
      <c r="AC434" s="99"/>
      <c r="AD434" s="97">
        <v>44790</v>
      </c>
      <c r="AE434" s="183" t="s">
        <v>4438</v>
      </c>
      <c r="AF434" s="171"/>
      <c r="AG434" s="170">
        <v>26</v>
      </c>
      <c r="AH434" s="144">
        <v>26</v>
      </c>
      <c r="AI434" s="99" t="s">
        <v>2388</v>
      </c>
      <c r="AJ434" s="96" t="s">
        <v>491</v>
      </c>
      <c r="AK434" s="96" t="s">
        <v>3462</v>
      </c>
      <c r="AL434" s="141" t="s">
        <v>3463</v>
      </c>
      <c r="AM434" s="204">
        <v>667221076</v>
      </c>
      <c r="AN434" s="96" t="s">
        <v>3464</v>
      </c>
      <c r="AO434" s="99">
        <v>202207671</v>
      </c>
      <c r="AP434" s="181">
        <f t="shared" si="191"/>
        <v>115097</v>
      </c>
      <c r="AQ434" s="138"/>
      <c r="AR434" s="138"/>
      <c r="AS434" s="99"/>
      <c r="AT434" s="99"/>
      <c r="AU434" s="138"/>
      <c r="AV434" s="99" t="s">
        <v>174</v>
      </c>
      <c r="AW434" s="99" t="s">
        <v>175</v>
      </c>
      <c r="AX434" s="96" t="s">
        <v>2459</v>
      </c>
      <c r="AY434" s="167">
        <f t="shared" si="192"/>
        <v>1.724722930612065E-4</v>
      </c>
      <c r="AZ434" s="139">
        <f t="shared" si="178"/>
        <v>1</v>
      </c>
      <c r="BA434" s="139">
        <f>IF(T434="Invitación Privada",1,IF(T434="Invitación Pública",2,0))</f>
        <v>1</v>
      </c>
      <c r="BB434" s="132">
        <f>IF(AA434="CONTRATADO",IF(BA434=1,NETWORKDAYS.INTL(E434,AD434,1,[1]FESTIVOS!$B$3:$B$10)-1,AD434-E434))-BD434</f>
        <v>18</v>
      </c>
      <c r="BC434" s="156"/>
      <c r="BD434" s="162"/>
      <c r="BE434" s="163"/>
    </row>
    <row r="435" spans="2:57" ht="43.9" customHeight="1" x14ac:dyDescent="0.25">
      <c r="B435" s="100">
        <f t="shared" si="175"/>
        <v>417</v>
      </c>
      <c r="C435" s="110" t="s">
        <v>2794</v>
      </c>
      <c r="D435" s="99" t="s">
        <v>33</v>
      </c>
      <c r="E435" s="189">
        <v>44767</v>
      </c>
      <c r="F435" s="268" t="s">
        <v>4437</v>
      </c>
      <c r="G435" s="96" t="s">
        <v>2795</v>
      </c>
      <c r="H435" s="96" t="s">
        <v>2796</v>
      </c>
      <c r="I435" s="96" t="s">
        <v>146</v>
      </c>
      <c r="J435" s="96" t="s">
        <v>2797</v>
      </c>
      <c r="K435" s="344">
        <v>280179462</v>
      </c>
      <c r="L435" s="96" t="s">
        <v>3025</v>
      </c>
      <c r="M435" s="99" t="s">
        <v>2798</v>
      </c>
      <c r="N435" s="99"/>
      <c r="O435" s="99" t="s">
        <v>2799</v>
      </c>
      <c r="P435" s="185">
        <v>250000000</v>
      </c>
      <c r="Q435" s="96" t="s">
        <v>146</v>
      </c>
      <c r="R435" s="96" t="s">
        <v>146</v>
      </c>
      <c r="S435" s="99" t="s">
        <v>146</v>
      </c>
      <c r="T435" s="111" t="s">
        <v>43</v>
      </c>
      <c r="U435" s="96" t="s">
        <v>187</v>
      </c>
      <c r="V435" s="192">
        <v>44771</v>
      </c>
      <c r="W435" s="186" t="e">
        <f t="shared" ref="W435:W441" si="193">+$D$4-E435</f>
        <v>#VALUE!</v>
      </c>
      <c r="X435" s="99" t="e">
        <f t="shared" ref="X435:X441" si="194">$D$4-V435</f>
        <v>#VALUE!</v>
      </c>
      <c r="Y435" s="99" t="s">
        <v>1317</v>
      </c>
      <c r="Z435" s="99" t="s">
        <v>168</v>
      </c>
      <c r="AA435" s="99" t="s">
        <v>169</v>
      </c>
      <c r="AB435" s="96" t="s">
        <v>2737</v>
      </c>
      <c r="AC435" s="99"/>
      <c r="AD435" s="97">
        <v>44816</v>
      </c>
      <c r="AE435" s="183" t="s">
        <v>4262</v>
      </c>
      <c r="AF435" s="183"/>
      <c r="AG435" s="186">
        <f t="shared" ref="AG435:AG441" si="195">+AD435-E435</f>
        <v>49</v>
      </c>
      <c r="AH435" s="187">
        <f t="shared" ref="AH435:AH441" si="196">+AD435-V435</f>
        <v>45</v>
      </c>
      <c r="AI435" s="99" t="s">
        <v>258</v>
      </c>
      <c r="AJ435" s="96" t="s">
        <v>155</v>
      </c>
      <c r="AK435" s="99" t="s">
        <v>3762</v>
      </c>
      <c r="AL435" s="97">
        <v>44809</v>
      </c>
      <c r="AM435" s="204">
        <v>280005455</v>
      </c>
      <c r="AN435" s="96" t="s">
        <v>3763</v>
      </c>
      <c r="AO435" s="99">
        <v>202208316</v>
      </c>
      <c r="AP435" s="181">
        <f t="shared" si="191"/>
        <v>174007</v>
      </c>
      <c r="AQ435" s="193"/>
      <c r="AR435" s="193"/>
      <c r="AS435" s="99"/>
      <c r="AT435" s="99"/>
      <c r="AU435" s="193"/>
      <c r="AV435" s="99" t="s">
        <v>1000</v>
      </c>
      <c r="AW435" s="99" t="s">
        <v>692</v>
      </c>
      <c r="AX435" s="96" t="s">
        <v>2485</v>
      </c>
      <c r="AY435" s="167">
        <f t="shared" si="192"/>
        <v>6.2105551476860212E-4</v>
      </c>
      <c r="AZ435" s="139">
        <f t="shared" si="178"/>
        <v>1</v>
      </c>
      <c r="BA435" s="139">
        <f>IF(T435="Invitación Privada",1,IF(T435="Invitación Pública",2,0))</f>
        <v>1</v>
      </c>
      <c r="BB435" s="132">
        <f>IF(AA435="CONTRATADO",IF(BA435=1,NETWORKDAYS.INTL(E435,AD435,1,[1]FESTIVOS!$B$3:$B$10)-1,AD435-E435))-BD435</f>
        <v>35</v>
      </c>
      <c r="BD435" s="207"/>
      <c r="BE435" s="208"/>
    </row>
    <row r="436" spans="2:57" ht="43.9" customHeight="1" x14ac:dyDescent="0.25">
      <c r="B436" s="100">
        <f t="shared" si="175"/>
        <v>418</v>
      </c>
      <c r="C436" s="293" t="s">
        <v>2800</v>
      </c>
      <c r="D436" s="265" t="s">
        <v>332</v>
      </c>
      <c r="E436" s="258">
        <v>44781</v>
      </c>
      <c r="F436" s="268" t="s">
        <v>4438</v>
      </c>
      <c r="G436" s="287" t="s">
        <v>2801</v>
      </c>
      <c r="H436" s="265" t="s">
        <v>3172</v>
      </c>
      <c r="I436" s="265" t="s">
        <v>146</v>
      </c>
      <c r="J436" s="269" t="s">
        <v>2802</v>
      </c>
      <c r="K436" s="342">
        <v>406259000</v>
      </c>
      <c r="L436" s="282"/>
      <c r="M436" s="265" t="s">
        <v>2803</v>
      </c>
      <c r="N436" s="302" t="str">
        <f>MID(M436,5,3)</f>
        <v>IP-</v>
      </c>
      <c r="O436" s="265" t="s">
        <v>1686</v>
      </c>
      <c r="P436" s="271"/>
      <c r="Q436" s="265" t="s">
        <v>146</v>
      </c>
      <c r="R436" s="265" t="s">
        <v>146</v>
      </c>
      <c r="S436" s="265" t="s">
        <v>146</v>
      </c>
      <c r="T436" s="111" t="s">
        <v>43</v>
      </c>
      <c r="U436" s="269" t="s">
        <v>4012</v>
      </c>
      <c r="V436" s="285">
        <v>44768</v>
      </c>
      <c r="W436" s="303" t="e">
        <f t="shared" si="193"/>
        <v>#VALUE!</v>
      </c>
      <c r="X436" s="303" t="e">
        <f t="shared" si="194"/>
        <v>#VALUE!</v>
      </c>
      <c r="Y436" s="265" t="s">
        <v>1300</v>
      </c>
      <c r="Z436" s="265" t="s">
        <v>214</v>
      </c>
      <c r="AA436" s="265" t="s">
        <v>215</v>
      </c>
      <c r="AB436" s="265"/>
      <c r="AC436" s="304" t="s">
        <v>3173</v>
      </c>
      <c r="AD436" s="272">
        <v>44776</v>
      </c>
      <c r="AE436" s="272"/>
      <c r="AF436" s="305" t="str">
        <f>+IF(AD436="","",TEXT(AD436,"mmm"))</f>
        <v>ago</v>
      </c>
      <c r="AG436" s="306">
        <f t="shared" si="195"/>
        <v>-5</v>
      </c>
      <c r="AH436" s="307">
        <f t="shared" si="196"/>
        <v>8</v>
      </c>
      <c r="AI436" s="265"/>
      <c r="AJ436" s="265" t="s">
        <v>171</v>
      </c>
      <c r="AK436" s="265"/>
      <c r="AL436" s="265"/>
      <c r="AM436" s="309"/>
      <c r="AN436" s="269"/>
      <c r="AO436" s="265"/>
      <c r="AP436" s="309"/>
      <c r="AQ436" s="289"/>
      <c r="AR436" s="269"/>
      <c r="AS436" s="265"/>
      <c r="AT436" s="260"/>
      <c r="AU436" s="260"/>
      <c r="AV436" s="200"/>
      <c r="AW436" s="200"/>
      <c r="AX436" s="200"/>
      <c r="AY436" s="200"/>
      <c r="AZ436" s="139">
        <f t="shared" si="178"/>
        <v>0</v>
      </c>
      <c r="BA436" s="200"/>
      <c r="BB436" s="203"/>
      <c r="BC436" s="95"/>
      <c r="BD436" s="2"/>
      <c r="BE436" s="2"/>
    </row>
    <row r="437" spans="2:57" ht="43.9" customHeight="1" x14ac:dyDescent="0.25">
      <c r="B437" s="100">
        <f t="shared" si="175"/>
        <v>419</v>
      </c>
      <c r="C437" s="293" t="s">
        <v>2804</v>
      </c>
      <c r="D437" s="312" t="s">
        <v>32</v>
      </c>
      <c r="E437" s="258">
        <v>44768</v>
      </c>
      <c r="F437" s="268" t="s">
        <v>4437</v>
      </c>
      <c r="G437" s="269" t="s">
        <v>2805</v>
      </c>
      <c r="H437" s="265" t="s">
        <v>2806</v>
      </c>
      <c r="I437" s="265" t="s">
        <v>146</v>
      </c>
      <c r="J437" s="269" t="s">
        <v>2807</v>
      </c>
      <c r="K437" s="342">
        <v>18199839</v>
      </c>
      <c r="L437" s="282"/>
      <c r="M437" s="265" t="s">
        <v>2808</v>
      </c>
      <c r="N437" s="302" t="str">
        <f>MID(M437,5,3)</f>
        <v>IP-</v>
      </c>
      <c r="O437" s="265">
        <v>202203107</v>
      </c>
      <c r="P437" s="271"/>
      <c r="Q437" s="265" t="s">
        <v>146</v>
      </c>
      <c r="R437" s="265" t="s">
        <v>146</v>
      </c>
      <c r="S437" s="265" t="s">
        <v>146</v>
      </c>
      <c r="T437" s="111" t="s">
        <v>43</v>
      </c>
      <c r="U437" s="269" t="s">
        <v>4082</v>
      </c>
      <c r="V437" s="285">
        <v>44769</v>
      </c>
      <c r="W437" s="303" t="e">
        <f t="shared" si="193"/>
        <v>#VALUE!</v>
      </c>
      <c r="X437" s="303" t="e">
        <f t="shared" si="194"/>
        <v>#VALUE!</v>
      </c>
      <c r="Y437" s="265"/>
      <c r="Z437" s="265" t="s">
        <v>152</v>
      </c>
      <c r="AA437" s="265" t="s">
        <v>153</v>
      </c>
      <c r="AB437" s="272">
        <v>44917</v>
      </c>
      <c r="AC437" s="304" t="s">
        <v>4322</v>
      </c>
      <c r="AD437" s="272">
        <v>44917</v>
      </c>
      <c r="AE437" s="265"/>
      <c r="AF437" s="305" t="str">
        <f>+IF(AD437="","",TEXT(AD437,"mmm"))</f>
        <v>dic</v>
      </c>
      <c r="AG437" s="306">
        <f t="shared" si="195"/>
        <v>149</v>
      </c>
      <c r="AH437" s="307">
        <f t="shared" si="196"/>
        <v>148</v>
      </c>
      <c r="AI437" s="265"/>
      <c r="AJ437" s="265" t="s">
        <v>155</v>
      </c>
      <c r="AK437" s="265"/>
      <c r="AL437" s="265"/>
      <c r="AM437" s="265"/>
      <c r="AN437" s="309"/>
      <c r="AO437" s="269"/>
      <c r="AP437" s="265"/>
      <c r="AQ437" s="309"/>
      <c r="AR437" s="289"/>
      <c r="AS437" s="269"/>
      <c r="AT437" s="265"/>
      <c r="AU437" s="260"/>
      <c r="AV437" s="260"/>
      <c r="AW437" s="200"/>
      <c r="AX437" s="200"/>
      <c r="AY437" s="200"/>
      <c r="AZ437" s="139">
        <f t="shared" si="178"/>
        <v>1</v>
      </c>
      <c r="BA437" s="200"/>
      <c r="BB437" s="200"/>
      <c r="BC437" s="3"/>
      <c r="BD437" s="95"/>
      <c r="BE437" s="2"/>
    </row>
    <row r="438" spans="2:57" ht="43.9" customHeight="1" x14ac:dyDescent="0.25">
      <c r="B438" s="100">
        <f t="shared" si="175"/>
        <v>420</v>
      </c>
      <c r="C438" s="293" t="s">
        <v>2809</v>
      </c>
      <c r="D438" s="265" t="s">
        <v>1559</v>
      </c>
      <c r="E438" s="258">
        <v>44769</v>
      </c>
      <c r="F438" s="268" t="s">
        <v>4437</v>
      </c>
      <c r="G438" s="269" t="s">
        <v>2429</v>
      </c>
      <c r="H438" s="265" t="s">
        <v>2430</v>
      </c>
      <c r="I438" s="265" t="s">
        <v>146</v>
      </c>
      <c r="J438" s="269" t="s">
        <v>2431</v>
      </c>
      <c r="K438" s="342">
        <v>129108545</v>
      </c>
      <c r="L438" s="282"/>
      <c r="M438" s="265" t="s">
        <v>2810</v>
      </c>
      <c r="N438" s="302" t="str">
        <f>MID(M438,5,3)</f>
        <v>IP-</v>
      </c>
      <c r="O438" s="265">
        <v>202205066</v>
      </c>
      <c r="P438" s="271"/>
      <c r="Q438" s="265" t="s">
        <v>146</v>
      </c>
      <c r="R438" s="265" t="s">
        <v>146</v>
      </c>
      <c r="S438" s="265" t="s">
        <v>146</v>
      </c>
      <c r="T438" s="111" t="s">
        <v>43</v>
      </c>
      <c r="U438" s="269" t="s">
        <v>1904</v>
      </c>
      <c r="V438" s="285">
        <v>44769</v>
      </c>
      <c r="W438" s="303" t="e">
        <f t="shared" si="193"/>
        <v>#VALUE!</v>
      </c>
      <c r="X438" s="303" t="e">
        <f t="shared" si="194"/>
        <v>#VALUE!</v>
      </c>
      <c r="Y438" s="265" t="s">
        <v>1300</v>
      </c>
      <c r="Z438" s="265" t="s">
        <v>214</v>
      </c>
      <c r="AA438" s="265" t="s">
        <v>215</v>
      </c>
      <c r="AB438" s="265"/>
      <c r="AC438" s="304" t="s">
        <v>2811</v>
      </c>
      <c r="AD438" s="272">
        <v>44783</v>
      </c>
      <c r="AE438" s="265"/>
      <c r="AF438" s="305" t="str">
        <f>+IF(AD438="","",TEXT(AD438,"mmm"))</f>
        <v>ago</v>
      </c>
      <c r="AG438" s="306">
        <f t="shared" si="195"/>
        <v>14</v>
      </c>
      <c r="AH438" s="307">
        <f t="shared" si="196"/>
        <v>14</v>
      </c>
      <c r="AI438" s="265"/>
      <c r="AJ438" s="265" t="s">
        <v>171</v>
      </c>
      <c r="AK438" s="265"/>
      <c r="AL438" s="265"/>
      <c r="AM438" s="309"/>
      <c r="AN438" s="269"/>
      <c r="AO438" s="265"/>
      <c r="AP438" s="309"/>
      <c r="AQ438" s="289"/>
      <c r="AR438" s="269"/>
      <c r="AS438" s="265"/>
      <c r="AT438" s="260"/>
      <c r="AU438" s="260"/>
      <c r="AV438" s="200"/>
      <c r="AW438" s="200"/>
      <c r="AX438" s="200"/>
      <c r="AY438" s="200"/>
      <c r="AZ438" s="139">
        <f t="shared" si="178"/>
        <v>0</v>
      </c>
      <c r="BA438" s="200"/>
      <c r="BB438" s="203"/>
      <c r="BC438" s="95"/>
      <c r="BD438" s="2"/>
      <c r="BE438" s="2"/>
    </row>
    <row r="439" spans="2:57" ht="43.9" customHeight="1" x14ac:dyDescent="0.25">
      <c r="B439" s="100">
        <f t="shared" si="175"/>
        <v>421</v>
      </c>
      <c r="C439" s="267" t="s">
        <v>2812</v>
      </c>
      <c r="D439" s="265" t="s">
        <v>33</v>
      </c>
      <c r="E439" s="189">
        <v>44769</v>
      </c>
      <c r="F439" s="268" t="s">
        <v>4437</v>
      </c>
      <c r="G439" s="269" t="s">
        <v>2813</v>
      </c>
      <c r="H439" s="269" t="s">
        <v>2814</v>
      </c>
      <c r="I439" s="269" t="s">
        <v>146</v>
      </c>
      <c r="J439" s="269" t="s">
        <v>2815</v>
      </c>
      <c r="K439" s="349">
        <v>5086714</v>
      </c>
      <c r="L439" s="282"/>
      <c r="M439" s="265" t="s">
        <v>2816</v>
      </c>
      <c r="N439" s="279" t="str">
        <f>MID(M439,5,3)</f>
        <v>IP-</v>
      </c>
      <c r="O439" s="265">
        <v>202202928</v>
      </c>
      <c r="P439" s="271"/>
      <c r="Q439" s="269" t="s">
        <v>146</v>
      </c>
      <c r="R439" s="269" t="s">
        <v>146</v>
      </c>
      <c r="S439" s="265" t="s">
        <v>146</v>
      </c>
      <c r="T439" s="111" t="s">
        <v>43</v>
      </c>
      <c r="U439" s="269" t="s">
        <v>4082</v>
      </c>
      <c r="V439" s="285">
        <v>44771</v>
      </c>
      <c r="W439" s="266" t="e">
        <f t="shared" si="193"/>
        <v>#VALUE!</v>
      </c>
      <c r="X439" s="266" t="e">
        <f t="shared" si="194"/>
        <v>#VALUE!</v>
      </c>
      <c r="Y439" s="265" t="s">
        <v>1300</v>
      </c>
      <c r="Z439" s="269" t="s">
        <v>1878</v>
      </c>
      <c r="AA439" s="269" t="s">
        <v>169</v>
      </c>
      <c r="AB439" s="278">
        <v>44895</v>
      </c>
      <c r="AC439" s="269" t="s">
        <v>4223</v>
      </c>
      <c r="AD439" s="272">
        <v>44886</v>
      </c>
      <c r="AE439" s="273" t="s">
        <v>4274</v>
      </c>
      <c r="AF439" s="273" t="str">
        <f>+IF(AD439="","",TEXT(AD439,"mmm"))</f>
        <v>nov</v>
      </c>
      <c r="AG439" s="274">
        <f t="shared" si="195"/>
        <v>117</v>
      </c>
      <c r="AH439" s="275">
        <f t="shared" si="196"/>
        <v>115</v>
      </c>
      <c r="AI439" s="265" t="s">
        <v>258</v>
      </c>
      <c r="AJ439" s="269" t="s">
        <v>171</v>
      </c>
      <c r="AK439" s="265" t="s">
        <v>4224</v>
      </c>
      <c r="AL439" s="272">
        <v>44819</v>
      </c>
      <c r="AM439" s="276">
        <v>4694074</v>
      </c>
      <c r="AN439" s="269" t="s">
        <v>4225</v>
      </c>
      <c r="AO439" s="265">
        <v>202208443</v>
      </c>
      <c r="AP439" s="181">
        <f t="shared" ref="AP439:AP440" si="197">+K439-AM439</f>
        <v>392640</v>
      </c>
      <c r="AQ439" s="277"/>
      <c r="AR439" s="265"/>
      <c r="AS439" s="265"/>
      <c r="AT439" s="200"/>
      <c r="AU439" s="200"/>
      <c r="AV439" s="260"/>
      <c r="AW439" s="260"/>
      <c r="AX439" s="260"/>
      <c r="AY439" s="167">
        <f t="shared" ref="AY439:AY440" si="198">+AP439/K439</f>
        <v>7.7189321043015194E-2</v>
      </c>
      <c r="AZ439" s="139">
        <f t="shared" si="178"/>
        <v>1</v>
      </c>
      <c r="BA439" s="139">
        <f>IF(T439="Invitación Privada",1,IF(T439="Invitación Pública",2,0))</f>
        <v>1</v>
      </c>
      <c r="BB439" s="132">
        <f>IF(AA439="CONTRATADO",IF(BA439=1,NETWORKDAYS.INTL(E439,AD439,1,[1]FESTIVOS!$B$3:$B$10)-1,AD439-E439))-BD439</f>
        <v>56</v>
      </c>
      <c r="BD439" s="3">
        <v>27</v>
      </c>
      <c r="BE439" s="95" t="s">
        <v>4229</v>
      </c>
    </row>
    <row r="440" spans="2:57" ht="43.9" customHeight="1" x14ac:dyDescent="0.25">
      <c r="B440" s="100">
        <f t="shared" si="175"/>
        <v>422</v>
      </c>
      <c r="C440" s="110" t="s">
        <v>2817</v>
      </c>
      <c r="D440" s="99" t="s">
        <v>33</v>
      </c>
      <c r="E440" s="189">
        <v>44769</v>
      </c>
      <c r="F440" s="268" t="s">
        <v>4437</v>
      </c>
      <c r="G440" s="96" t="s">
        <v>2818</v>
      </c>
      <c r="H440" s="96" t="s">
        <v>2819</v>
      </c>
      <c r="I440" s="96" t="s">
        <v>146</v>
      </c>
      <c r="J440" s="133" t="s">
        <v>2820</v>
      </c>
      <c r="K440" s="344">
        <v>14525687</v>
      </c>
      <c r="L440" s="96" t="s">
        <v>3025</v>
      </c>
      <c r="M440" s="99" t="s">
        <v>2821</v>
      </c>
      <c r="N440" s="99"/>
      <c r="O440" s="99">
        <v>202202997</v>
      </c>
      <c r="P440" s="185"/>
      <c r="Q440" s="96" t="s">
        <v>146</v>
      </c>
      <c r="R440" s="96" t="s">
        <v>146</v>
      </c>
      <c r="S440" s="99" t="s">
        <v>146</v>
      </c>
      <c r="T440" s="111" t="s">
        <v>43</v>
      </c>
      <c r="U440" s="96" t="s">
        <v>572</v>
      </c>
      <c r="V440" s="192">
        <v>44771</v>
      </c>
      <c r="W440" s="186" t="e">
        <f t="shared" si="193"/>
        <v>#VALUE!</v>
      </c>
      <c r="X440" s="99" t="e">
        <f t="shared" si="194"/>
        <v>#VALUE!</v>
      </c>
      <c r="Y440" s="99" t="s">
        <v>1317</v>
      </c>
      <c r="Z440" s="96" t="s">
        <v>168</v>
      </c>
      <c r="AA440" s="96" t="s">
        <v>169</v>
      </c>
      <c r="AB440" s="96" t="s">
        <v>2639</v>
      </c>
      <c r="AC440" s="99"/>
      <c r="AD440" s="97">
        <v>44823</v>
      </c>
      <c r="AE440" s="183" t="s">
        <v>4262</v>
      </c>
      <c r="AF440" s="183"/>
      <c r="AG440" s="186">
        <f t="shared" si="195"/>
        <v>54</v>
      </c>
      <c r="AH440" s="187">
        <f t="shared" si="196"/>
        <v>52</v>
      </c>
      <c r="AI440" s="99" t="s">
        <v>258</v>
      </c>
      <c r="AJ440" s="96" t="s">
        <v>171</v>
      </c>
      <c r="AK440" s="99" t="s">
        <v>3764</v>
      </c>
      <c r="AL440" s="97">
        <v>44819</v>
      </c>
      <c r="AM440" s="204">
        <v>13762090</v>
      </c>
      <c r="AN440" s="96" t="s">
        <v>3765</v>
      </c>
      <c r="AO440" s="99">
        <v>202208440</v>
      </c>
      <c r="AP440" s="181">
        <f t="shared" si="197"/>
        <v>763597</v>
      </c>
      <c r="AQ440" s="193"/>
      <c r="AR440" s="193"/>
      <c r="AS440" s="99"/>
      <c r="AT440" s="99"/>
      <c r="AU440" s="193"/>
      <c r="AV440" s="99" t="s">
        <v>174</v>
      </c>
      <c r="AW440" s="99" t="s">
        <v>175</v>
      </c>
      <c r="AX440" s="96" t="s">
        <v>2485</v>
      </c>
      <c r="AY440" s="167">
        <f t="shared" si="198"/>
        <v>5.2568735647408625E-2</v>
      </c>
      <c r="AZ440" s="139">
        <f t="shared" si="178"/>
        <v>1</v>
      </c>
      <c r="BA440" s="139">
        <f>IF(T440="Invitación Privada",1,IF(T440="Invitación Pública",2,0))</f>
        <v>1</v>
      </c>
      <c r="BB440" s="132">
        <f>IF(AA440="CONTRATADO",IF(BA440=1,NETWORKDAYS.INTL(E440,AD440,1,[1]FESTIVOS!$B$3:$B$10)-1,AD440-E440))-BD440</f>
        <v>26</v>
      </c>
      <c r="BD440" s="207">
        <v>12</v>
      </c>
      <c r="BE440" s="208" t="s">
        <v>3901</v>
      </c>
    </row>
    <row r="441" spans="2:57" ht="43.9" customHeight="1" x14ac:dyDescent="0.25">
      <c r="B441" s="100">
        <f t="shared" si="175"/>
        <v>423</v>
      </c>
      <c r="C441" s="293" t="s">
        <v>2822</v>
      </c>
      <c r="D441" s="312" t="s">
        <v>32</v>
      </c>
      <c r="E441" s="258">
        <v>44769</v>
      </c>
      <c r="F441" s="268" t="s">
        <v>4437</v>
      </c>
      <c r="G441" s="269" t="s">
        <v>2823</v>
      </c>
      <c r="H441" s="265" t="s">
        <v>2824</v>
      </c>
      <c r="I441" s="265" t="s">
        <v>146</v>
      </c>
      <c r="J441" s="269" t="s">
        <v>2825</v>
      </c>
      <c r="K441" s="342">
        <v>653117854</v>
      </c>
      <c r="L441" s="282"/>
      <c r="M441" s="265" t="s">
        <v>4323</v>
      </c>
      <c r="N441" s="302" t="str">
        <f>MID(M441,5,3)</f>
        <v>IPU</v>
      </c>
      <c r="O441" s="265">
        <v>202204431</v>
      </c>
      <c r="P441" s="271"/>
      <c r="Q441" s="265" t="s">
        <v>146</v>
      </c>
      <c r="R441" s="265" t="s">
        <v>146</v>
      </c>
      <c r="S441" s="265" t="s">
        <v>146</v>
      </c>
      <c r="T441" s="111" t="s">
        <v>40</v>
      </c>
      <c r="U441" s="269" t="s">
        <v>1357</v>
      </c>
      <c r="V441" s="285">
        <v>44873</v>
      </c>
      <c r="W441" s="303" t="e">
        <f t="shared" si="193"/>
        <v>#VALUE!</v>
      </c>
      <c r="X441" s="303" t="e">
        <f t="shared" si="194"/>
        <v>#VALUE!</v>
      </c>
      <c r="Y441" s="265"/>
      <c r="Z441" s="265" t="s">
        <v>152</v>
      </c>
      <c r="AA441" s="265" t="s">
        <v>153</v>
      </c>
      <c r="AB441" s="272">
        <v>44907</v>
      </c>
      <c r="AC441" s="304" t="s">
        <v>4324</v>
      </c>
      <c r="AD441" s="272">
        <v>44907</v>
      </c>
      <c r="AE441" s="265"/>
      <c r="AF441" s="305" t="str">
        <f>+IF(AD441="","",TEXT(AD441,"mmm"))</f>
        <v>dic</v>
      </c>
      <c r="AG441" s="306">
        <f t="shared" si="195"/>
        <v>138</v>
      </c>
      <c r="AH441" s="307">
        <f t="shared" si="196"/>
        <v>34</v>
      </c>
      <c r="AI441" s="265" t="s">
        <v>2462</v>
      </c>
      <c r="AJ441" s="265" t="s">
        <v>171</v>
      </c>
      <c r="AK441" s="265"/>
      <c r="AL441" s="265"/>
      <c r="AM441" s="265"/>
      <c r="AN441" s="309"/>
      <c r="AO441" s="269"/>
      <c r="AP441" s="265"/>
      <c r="AQ441" s="309"/>
      <c r="AR441" s="289"/>
      <c r="AS441" s="269"/>
      <c r="AT441" s="265"/>
      <c r="AU441" s="260"/>
      <c r="AV441" s="260"/>
      <c r="AW441" s="200"/>
      <c r="AX441" s="200"/>
      <c r="AY441" s="200"/>
      <c r="AZ441" s="139">
        <f t="shared" si="178"/>
        <v>1</v>
      </c>
      <c r="BA441" s="200"/>
      <c r="BB441" s="200"/>
      <c r="BC441" s="3"/>
      <c r="BD441" s="95"/>
      <c r="BE441" s="2"/>
    </row>
    <row r="442" spans="2:57" ht="43.9" customHeight="1" x14ac:dyDescent="0.25">
      <c r="B442" s="100">
        <f t="shared" si="175"/>
        <v>424</v>
      </c>
      <c r="C442" s="110" t="s">
        <v>2826</v>
      </c>
      <c r="D442" s="99" t="s">
        <v>32</v>
      </c>
      <c r="E442" s="189">
        <v>44769</v>
      </c>
      <c r="F442" s="268" t="s">
        <v>4437</v>
      </c>
      <c r="G442" s="96" t="s">
        <v>2827</v>
      </c>
      <c r="H442" s="96" t="s">
        <v>2828</v>
      </c>
      <c r="I442" s="96" t="s">
        <v>226</v>
      </c>
      <c r="J442" s="96" t="s">
        <v>2829</v>
      </c>
      <c r="K442" s="347">
        <v>691395355</v>
      </c>
      <c r="L442" s="99" t="s">
        <v>3449</v>
      </c>
      <c r="M442" s="99" t="s">
        <v>146</v>
      </c>
      <c r="N442" s="99"/>
      <c r="O442" s="99">
        <v>202205361</v>
      </c>
      <c r="P442" s="204">
        <v>691395355</v>
      </c>
      <c r="Q442" s="96" t="s">
        <v>146</v>
      </c>
      <c r="R442" s="96" t="s">
        <v>146</v>
      </c>
      <c r="S442" s="99" t="s">
        <v>146</v>
      </c>
      <c r="T442" s="96" t="s">
        <v>230</v>
      </c>
      <c r="U442" s="96" t="s">
        <v>35</v>
      </c>
      <c r="V442" s="192">
        <v>44769</v>
      </c>
      <c r="W442" s="186">
        <v>104</v>
      </c>
      <c r="X442" s="99">
        <v>104</v>
      </c>
      <c r="Y442" s="99" t="s">
        <v>1317</v>
      </c>
      <c r="Z442" s="99" t="s">
        <v>168</v>
      </c>
      <c r="AA442" s="99" t="s">
        <v>169</v>
      </c>
      <c r="AB442" s="96" t="s">
        <v>3549</v>
      </c>
      <c r="AC442" s="96"/>
      <c r="AD442" s="97">
        <v>44838</v>
      </c>
      <c r="AE442" s="183" t="s">
        <v>4271</v>
      </c>
      <c r="AF442" s="186">
        <v>69</v>
      </c>
      <c r="AG442" s="186"/>
      <c r="AH442" s="187">
        <v>69</v>
      </c>
      <c r="AI442" s="99" t="s">
        <v>146</v>
      </c>
      <c r="AJ442" s="96" t="s">
        <v>2830</v>
      </c>
      <c r="AK442" s="96" t="s">
        <v>3972</v>
      </c>
      <c r="AL442" s="97">
        <v>44819</v>
      </c>
      <c r="AM442" s="204">
        <v>691395355</v>
      </c>
      <c r="AN442" s="99" t="s">
        <v>1557</v>
      </c>
      <c r="AO442" s="99">
        <v>202208523</v>
      </c>
      <c r="AP442" s="181">
        <f t="shared" ref="AP442:AP443" si="199">+K442-AM442</f>
        <v>0</v>
      </c>
      <c r="AQ442" s="99" t="s">
        <v>1001</v>
      </c>
      <c r="AR442" s="99" t="s">
        <v>1002</v>
      </c>
      <c r="AS442" s="203"/>
      <c r="AT442" s="200"/>
      <c r="AU442" s="200"/>
      <c r="AV442" s="260"/>
      <c r="AW442" s="260"/>
      <c r="AX442" s="260"/>
      <c r="AY442" s="167">
        <f t="shared" ref="AY442:AY443" si="200">+AP442/K442</f>
        <v>0</v>
      </c>
      <c r="AZ442" s="139">
        <f t="shared" si="178"/>
        <v>1</v>
      </c>
      <c r="BA442" s="139">
        <f>IF(T442="Invitación Privada",1,IF(T442="Invitación Pública",2,0))</f>
        <v>0</v>
      </c>
      <c r="BB442" s="132">
        <f>IF(AA442="CONTRATADO",IF(BA442=1,NETWORKDAYS.INTL(E442,AD442,1,[1]FESTIVOS!$B$3:$B$10)-1,AD442-E442))-BD442</f>
        <v>69</v>
      </c>
    </row>
    <row r="443" spans="2:57" ht="43.9" customHeight="1" x14ac:dyDescent="0.25">
      <c r="B443" s="100">
        <f t="shared" si="175"/>
        <v>425</v>
      </c>
      <c r="C443" s="110" t="s">
        <v>2831</v>
      </c>
      <c r="D443" s="99" t="s">
        <v>28</v>
      </c>
      <c r="E443" s="189">
        <v>44770</v>
      </c>
      <c r="F443" s="268" t="s">
        <v>4437</v>
      </c>
      <c r="G443" s="96" t="s">
        <v>2832</v>
      </c>
      <c r="H443" s="96" t="s">
        <v>2833</v>
      </c>
      <c r="I443" s="96" t="s">
        <v>146</v>
      </c>
      <c r="J443" s="133" t="s">
        <v>2834</v>
      </c>
      <c r="K443" s="344">
        <v>34807500</v>
      </c>
      <c r="L443" s="96" t="s">
        <v>228</v>
      </c>
      <c r="M443" s="99" t="s">
        <v>2835</v>
      </c>
      <c r="N443" s="99"/>
      <c r="O443" s="99">
        <v>202202257</v>
      </c>
      <c r="P443" s="185">
        <v>35000000</v>
      </c>
      <c r="Q443" s="96" t="s">
        <v>146</v>
      </c>
      <c r="R443" s="96" t="s">
        <v>146</v>
      </c>
      <c r="S443" s="99" t="s">
        <v>146</v>
      </c>
      <c r="T443" s="111" t="s">
        <v>43</v>
      </c>
      <c r="U443" s="96" t="s">
        <v>624</v>
      </c>
      <c r="V443" s="192">
        <v>44771</v>
      </c>
      <c r="W443" s="186" t="e">
        <f t="shared" ref="W443:W448" si="201">+$D$4-E443</f>
        <v>#VALUE!</v>
      </c>
      <c r="X443" s="99" t="e">
        <f t="shared" ref="X443:X448" si="202">$D$4-V443</f>
        <v>#VALUE!</v>
      </c>
      <c r="Y443" s="99" t="s">
        <v>1317</v>
      </c>
      <c r="Z443" s="99" t="s">
        <v>168</v>
      </c>
      <c r="AA443" s="99" t="s">
        <v>169</v>
      </c>
      <c r="AB443" s="96" t="s">
        <v>2836</v>
      </c>
      <c r="AC443" s="99"/>
      <c r="AD443" s="97">
        <v>44812</v>
      </c>
      <c r="AE443" s="183" t="s">
        <v>4262</v>
      </c>
      <c r="AF443" s="183"/>
      <c r="AG443" s="186">
        <f t="shared" ref="AG443:AG448" si="203">+AD443-E443</f>
        <v>42</v>
      </c>
      <c r="AH443" s="187">
        <f t="shared" ref="AH443:AH448" si="204">+AD443-V443</f>
        <v>41</v>
      </c>
      <c r="AI443" s="99" t="s">
        <v>258</v>
      </c>
      <c r="AJ443" s="96" t="s">
        <v>171</v>
      </c>
      <c r="AK443" s="99" t="s">
        <v>3766</v>
      </c>
      <c r="AL443" s="97">
        <v>44799</v>
      </c>
      <c r="AM443" s="204">
        <v>34807500</v>
      </c>
      <c r="AN443" s="96" t="s">
        <v>3767</v>
      </c>
      <c r="AO443" s="99">
        <v>202208272</v>
      </c>
      <c r="AP443" s="181">
        <f t="shared" si="199"/>
        <v>0</v>
      </c>
      <c r="AQ443" s="193"/>
      <c r="AR443" s="193"/>
      <c r="AS443" s="99"/>
      <c r="AT443" s="99"/>
      <c r="AU443" s="193"/>
      <c r="AV443" s="99" t="s">
        <v>1000</v>
      </c>
      <c r="AW443" s="99" t="s">
        <v>692</v>
      </c>
      <c r="AX443" s="96" t="s">
        <v>2837</v>
      </c>
      <c r="AY443" s="167">
        <f t="shared" si="200"/>
        <v>0</v>
      </c>
      <c r="AZ443" s="139">
        <f t="shared" si="178"/>
        <v>1</v>
      </c>
      <c r="BA443" s="139">
        <f>IF(T443="Invitación Privada",1,IF(T443="Invitación Pública",2,0))</f>
        <v>1</v>
      </c>
      <c r="BB443" s="132">
        <f>IF(AA443="CONTRATADO",IF(BA443=1,NETWORKDAYS.INTL(E443,AD443,1,[1]FESTIVOS!$B$3:$B$10)-1,AD443-E443))-BD443</f>
        <v>30</v>
      </c>
      <c r="BD443" s="207">
        <v>0</v>
      </c>
      <c r="BE443" s="208" t="s">
        <v>2052</v>
      </c>
    </row>
    <row r="444" spans="2:57" ht="43.9" customHeight="1" x14ac:dyDescent="0.25">
      <c r="B444" s="100">
        <f t="shared" si="175"/>
        <v>426</v>
      </c>
      <c r="C444" s="293" t="s">
        <v>2838</v>
      </c>
      <c r="D444" s="265" t="s">
        <v>28</v>
      </c>
      <c r="E444" s="258">
        <v>44770</v>
      </c>
      <c r="F444" s="268" t="s">
        <v>4437</v>
      </c>
      <c r="G444" s="269" t="s">
        <v>2839</v>
      </c>
      <c r="H444" s="265" t="s">
        <v>2840</v>
      </c>
      <c r="I444" s="265" t="s">
        <v>146</v>
      </c>
      <c r="J444" s="269" t="s">
        <v>2841</v>
      </c>
      <c r="K444" s="342">
        <v>26188501</v>
      </c>
      <c r="L444" s="282"/>
      <c r="M444" s="265" t="s">
        <v>4027</v>
      </c>
      <c r="N444" s="302" t="str">
        <f>MID(M444,5,3)</f>
        <v>IP-</v>
      </c>
      <c r="O444" s="265">
        <v>202205245</v>
      </c>
      <c r="P444" s="271"/>
      <c r="Q444" s="265" t="s">
        <v>146</v>
      </c>
      <c r="R444" s="265" t="s">
        <v>146</v>
      </c>
      <c r="S444" s="265" t="s">
        <v>146</v>
      </c>
      <c r="T444" s="111" t="s">
        <v>43</v>
      </c>
      <c r="U444" s="269" t="s">
        <v>2842</v>
      </c>
      <c r="V444" s="285">
        <v>44771</v>
      </c>
      <c r="W444" s="303" t="e">
        <f t="shared" si="201"/>
        <v>#VALUE!</v>
      </c>
      <c r="X444" s="303" t="e">
        <f t="shared" si="202"/>
        <v>#VALUE!</v>
      </c>
      <c r="Y444" s="265" t="s">
        <v>1300</v>
      </c>
      <c r="Z444" s="265" t="s">
        <v>214</v>
      </c>
      <c r="AA444" s="265" t="s">
        <v>215</v>
      </c>
      <c r="AB444" s="272">
        <v>44877</v>
      </c>
      <c r="AC444" s="304" t="s">
        <v>3557</v>
      </c>
      <c r="AD444" s="272">
        <v>44846</v>
      </c>
      <c r="AE444" s="265"/>
      <c r="AF444" s="305" t="str">
        <f>+IF(AD444="","",TEXT(AD444,"mmm"))</f>
        <v>oct</v>
      </c>
      <c r="AG444" s="306">
        <f t="shared" si="203"/>
        <v>76</v>
      </c>
      <c r="AH444" s="307">
        <f t="shared" si="204"/>
        <v>75</v>
      </c>
      <c r="AI444" s="265"/>
      <c r="AJ444" s="265" t="s">
        <v>171</v>
      </c>
      <c r="AK444" s="265"/>
      <c r="AL444" s="265"/>
      <c r="AM444" s="309"/>
      <c r="AN444" s="269"/>
      <c r="AO444" s="265"/>
      <c r="AP444" s="309"/>
      <c r="AQ444" s="289"/>
      <c r="AR444" s="269"/>
      <c r="AS444" s="265"/>
      <c r="AT444" s="260"/>
      <c r="AU444" s="260"/>
      <c r="AV444" s="200"/>
      <c r="AW444" s="200"/>
      <c r="AX444" s="200"/>
      <c r="AY444" s="200"/>
      <c r="AZ444" s="139">
        <f t="shared" si="178"/>
        <v>1</v>
      </c>
      <c r="BA444" s="200"/>
      <c r="BB444" s="203"/>
      <c r="BC444" s="95"/>
      <c r="BD444" s="2"/>
      <c r="BE444" s="2"/>
    </row>
    <row r="445" spans="2:57" ht="43.9" customHeight="1" x14ac:dyDescent="0.25">
      <c r="B445" s="100">
        <f t="shared" si="175"/>
        <v>427</v>
      </c>
      <c r="C445" s="110" t="s">
        <v>2843</v>
      </c>
      <c r="D445" s="99" t="s">
        <v>28</v>
      </c>
      <c r="E445" s="189">
        <v>44770</v>
      </c>
      <c r="F445" s="268" t="s">
        <v>4437</v>
      </c>
      <c r="G445" s="96" t="s">
        <v>2844</v>
      </c>
      <c r="H445" s="96" t="s">
        <v>2845</v>
      </c>
      <c r="I445" s="96" t="s">
        <v>146</v>
      </c>
      <c r="J445" s="96" t="s">
        <v>2846</v>
      </c>
      <c r="K445" s="344">
        <v>47253260</v>
      </c>
      <c r="L445" s="96" t="s">
        <v>3020</v>
      </c>
      <c r="M445" s="96" t="s">
        <v>2847</v>
      </c>
      <c r="N445" s="96"/>
      <c r="O445" s="99" t="s">
        <v>2848</v>
      </c>
      <c r="P445" s="190">
        <v>47253260</v>
      </c>
      <c r="Q445" s="96" t="s">
        <v>146</v>
      </c>
      <c r="R445" s="96" t="s">
        <v>146</v>
      </c>
      <c r="S445" s="99" t="s">
        <v>146</v>
      </c>
      <c r="T445" s="111" t="s">
        <v>43</v>
      </c>
      <c r="U445" s="96" t="s">
        <v>2849</v>
      </c>
      <c r="V445" s="192">
        <v>44771</v>
      </c>
      <c r="W445" s="186" t="e">
        <f t="shared" si="201"/>
        <v>#VALUE!</v>
      </c>
      <c r="X445" s="99" t="e">
        <f t="shared" si="202"/>
        <v>#VALUE!</v>
      </c>
      <c r="Y445" s="99" t="s">
        <v>1317</v>
      </c>
      <c r="Z445" s="99" t="s">
        <v>168</v>
      </c>
      <c r="AA445" s="99" t="s">
        <v>169</v>
      </c>
      <c r="AB445" s="96" t="s">
        <v>2850</v>
      </c>
      <c r="AC445" s="99"/>
      <c r="AD445" s="97">
        <v>44831</v>
      </c>
      <c r="AE445" s="183" t="s">
        <v>4262</v>
      </c>
      <c r="AF445" s="183"/>
      <c r="AG445" s="186">
        <f t="shared" si="203"/>
        <v>61</v>
      </c>
      <c r="AH445" s="187">
        <f t="shared" si="204"/>
        <v>60</v>
      </c>
      <c r="AI445" s="99" t="s">
        <v>258</v>
      </c>
      <c r="AJ445" s="96" t="s">
        <v>171</v>
      </c>
      <c r="AK445" s="99" t="s">
        <v>3768</v>
      </c>
      <c r="AL445" s="97">
        <v>44819</v>
      </c>
      <c r="AM445" s="204">
        <v>46151260</v>
      </c>
      <c r="AN445" s="96" t="s">
        <v>3769</v>
      </c>
      <c r="AO445" s="99">
        <v>202208543</v>
      </c>
      <c r="AP445" s="181">
        <f t="shared" ref="AP445:AP446" si="205">+K445-AM445</f>
        <v>1102000</v>
      </c>
      <c r="AQ445" s="193"/>
      <c r="AR445" s="193"/>
      <c r="AS445" s="99"/>
      <c r="AT445" s="99"/>
      <c r="AU445" s="193"/>
      <c r="AV445" s="99" t="s">
        <v>174</v>
      </c>
      <c r="AW445" s="99" t="s">
        <v>175</v>
      </c>
      <c r="AX445" s="96" t="s">
        <v>2837</v>
      </c>
      <c r="AY445" s="167">
        <f t="shared" ref="AY445:AY446" si="206">+AP445/K445</f>
        <v>2.3321142287325784E-2</v>
      </c>
      <c r="AZ445" s="139">
        <f t="shared" si="178"/>
        <v>1</v>
      </c>
      <c r="BA445" s="139">
        <f>IF(T445="Invitación Privada",1,IF(T445="Invitación Pública",2,0))</f>
        <v>1</v>
      </c>
      <c r="BB445" s="132">
        <f>IF(AA445="CONTRATADO",IF(BA445=1,NETWORKDAYS.INTL(E445,AD445,1,[1]FESTIVOS!$B$3:$B$10)-1,AD445-E445))-BD445</f>
        <v>43</v>
      </c>
      <c r="BD445" s="207"/>
      <c r="BE445" s="208"/>
    </row>
    <row r="446" spans="2:57" ht="43.9" customHeight="1" x14ac:dyDescent="0.25">
      <c r="B446" s="100">
        <f t="shared" si="175"/>
        <v>428</v>
      </c>
      <c r="C446" s="110" t="s">
        <v>2851</v>
      </c>
      <c r="D446" s="99" t="s">
        <v>28</v>
      </c>
      <c r="E446" s="189">
        <v>44770</v>
      </c>
      <c r="F446" s="268" t="s">
        <v>4437</v>
      </c>
      <c r="G446" s="96" t="s">
        <v>2852</v>
      </c>
      <c r="H446" s="96" t="s">
        <v>2853</v>
      </c>
      <c r="I446" s="96" t="s">
        <v>146</v>
      </c>
      <c r="J446" s="133" t="s">
        <v>2854</v>
      </c>
      <c r="K446" s="344">
        <v>22222060</v>
      </c>
      <c r="L446" s="96" t="s">
        <v>228</v>
      </c>
      <c r="M446" s="96" t="s">
        <v>3770</v>
      </c>
      <c r="N446" s="96"/>
      <c r="O446" s="99">
        <v>202205242</v>
      </c>
      <c r="P446" s="190">
        <v>22222060</v>
      </c>
      <c r="Q446" s="96" t="s">
        <v>146</v>
      </c>
      <c r="R446" s="96" t="s">
        <v>146</v>
      </c>
      <c r="S446" s="99" t="s">
        <v>146</v>
      </c>
      <c r="T446" s="111" t="s">
        <v>43</v>
      </c>
      <c r="U446" s="96" t="s">
        <v>2842</v>
      </c>
      <c r="V446" s="192">
        <v>44771</v>
      </c>
      <c r="W446" s="186" t="e">
        <f t="shared" si="201"/>
        <v>#VALUE!</v>
      </c>
      <c r="X446" s="99" t="e">
        <f t="shared" si="202"/>
        <v>#VALUE!</v>
      </c>
      <c r="Y446" s="99" t="s">
        <v>1317</v>
      </c>
      <c r="Z446" s="99" t="s">
        <v>168</v>
      </c>
      <c r="AA446" s="99" t="s">
        <v>169</v>
      </c>
      <c r="AB446" s="96"/>
      <c r="AC446" s="99"/>
      <c r="AD446" s="97">
        <v>44810</v>
      </c>
      <c r="AE446" s="183" t="s">
        <v>4262</v>
      </c>
      <c r="AF446" s="183"/>
      <c r="AG446" s="186">
        <f t="shared" si="203"/>
        <v>40</v>
      </c>
      <c r="AH446" s="187">
        <f t="shared" si="204"/>
        <v>39</v>
      </c>
      <c r="AI446" s="99" t="s">
        <v>258</v>
      </c>
      <c r="AJ446" s="96" t="s">
        <v>171</v>
      </c>
      <c r="AK446" s="99" t="s">
        <v>3771</v>
      </c>
      <c r="AL446" s="97">
        <v>44804</v>
      </c>
      <c r="AM446" s="204">
        <v>22222060</v>
      </c>
      <c r="AN446" s="96" t="s">
        <v>315</v>
      </c>
      <c r="AO446" s="99">
        <v>202208246</v>
      </c>
      <c r="AP446" s="181">
        <f t="shared" si="205"/>
        <v>0</v>
      </c>
      <c r="AQ446" s="193"/>
      <c r="AR446" s="193"/>
      <c r="AS446" s="99"/>
      <c r="AT446" s="99"/>
      <c r="AU446" s="193"/>
      <c r="AV446" s="99" t="s">
        <v>174</v>
      </c>
      <c r="AW446" s="99" t="s">
        <v>175</v>
      </c>
      <c r="AX446" s="96" t="s">
        <v>2837</v>
      </c>
      <c r="AY446" s="167">
        <f t="shared" si="206"/>
        <v>0</v>
      </c>
      <c r="AZ446" s="139">
        <f t="shared" si="178"/>
        <v>1</v>
      </c>
      <c r="BA446" s="139">
        <f>IF(T446="Invitación Privada",1,IF(T446="Invitación Pública",2,0))</f>
        <v>1</v>
      </c>
      <c r="BB446" s="132">
        <f>IF(AA446="CONTRATADO",IF(BA446=1,NETWORKDAYS.INTL(E446,AD446,1,[1]FESTIVOS!$B$3:$B$10)-1,AD446-E446))-BD446</f>
        <v>28</v>
      </c>
      <c r="BD446" s="207"/>
      <c r="BE446" s="208"/>
    </row>
    <row r="447" spans="2:57" ht="43.9" customHeight="1" x14ac:dyDescent="0.25">
      <c r="B447" s="100">
        <f t="shared" si="175"/>
        <v>429</v>
      </c>
      <c r="C447" s="293" t="s">
        <v>2855</v>
      </c>
      <c r="D447" s="265" t="s">
        <v>28</v>
      </c>
      <c r="E447" s="258">
        <v>44770</v>
      </c>
      <c r="F447" s="268" t="s">
        <v>4437</v>
      </c>
      <c r="G447" s="269" t="s">
        <v>2856</v>
      </c>
      <c r="H447" s="265" t="s">
        <v>2857</v>
      </c>
      <c r="I447" s="265" t="s">
        <v>146</v>
      </c>
      <c r="J447" s="269" t="s">
        <v>2858</v>
      </c>
      <c r="K447" s="342">
        <v>19999140</v>
      </c>
      <c r="L447" s="282"/>
      <c r="M447" s="265" t="s">
        <v>2859</v>
      </c>
      <c r="N447" s="302" t="str">
        <f>MID(M447,5,3)</f>
        <v>IP-</v>
      </c>
      <c r="O447" s="265">
        <v>202205243</v>
      </c>
      <c r="P447" s="271"/>
      <c r="Q447" s="265" t="s">
        <v>146</v>
      </c>
      <c r="R447" s="265" t="s">
        <v>146</v>
      </c>
      <c r="S447" s="265" t="s">
        <v>146</v>
      </c>
      <c r="T447" s="111" t="s">
        <v>43</v>
      </c>
      <c r="U447" s="269" t="s">
        <v>2849</v>
      </c>
      <c r="V447" s="285">
        <v>44771</v>
      </c>
      <c r="W447" s="303" t="e">
        <f t="shared" si="201"/>
        <v>#VALUE!</v>
      </c>
      <c r="X447" s="303" t="e">
        <f t="shared" si="202"/>
        <v>#VALUE!</v>
      </c>
      <c r="Y447" s="265" t="s">
        <v>1300</v>
      </c>
      <c r="Z447" s="265" t="s">
        <v>214</v>
      </c>
      <c r="AA447" s="265" t="s">
        <v>215</v>
      </c>
      <c r="AB447" s="265"/>
      <c r="AC447" s="304" t="s">
        <v>3186</v>
      </c>
      <c r="AD447" s="272">
        <v>44790</v>
      </c>
      <c r="AE447" s="272"/>
      <c r="AF447" s="305" t="str">
        <f>+IF(AD447="","",TEXT(AD447,"mmm"))</f>
        <v>ago</v>
      </c>
      <c r="AG447" s="306">
        <f t="shared" si="203"/>
        <v>20</v>
      </c>
      <c r="AH447" s="307">
        <f t="shared" si="204"/>
        <v>19</v>
      </c>
      <c r="AI447" s="265" t="s">
        <v>258</v>
      </c>
      <c r="AJ447" s="265" t="s">
        <v>171</v>
      </c>
      <c r="AK447" s="265"/>
      <c r="AL447" s="265"/>
      <c r="AM447" s="309"/>
      <c r="AN447" s="269"/>
      <c r="AO447" s="265"/>
      <c r="AP447" s="309"/>
      <c r="AQ447" s="289"/>
      <c r="AR447" s="269"/>
      <c r="AS447" s="265"/>
      <c r="AT447" s="260"/>
      <c r="AU447" s="260"/>
      <c r="AV447" s="200"/>
      <c r="AW447" s="200"/>
      <c r="AX447" s="200"/>
      <c r="AY447" s="200"/>
      <c r="AZ447" s="139">
        <f t="shared" si="178"/>
        <v>1</v>
      </c>
      <c r="BA447" s="200"/>
      <c r="BB447" s="203"/>
      <c r="BC447" s="95"/>
      <c r="BD447" s="2"/>
      <c r="BE447" s="2"/>
    </row>
    <row r="448" spans="2:57" ht="43.9" customHeight="1" x14ac:dyDescent="0.25">
      <c r="B448" s="100">
        <f t="shared" si="175"/>
        <v>430</v>
      </c>
      <c r="C448" s="110" t="s">
        <v>2860</v>
      </c>
      <c r="D448" s="99" t="s">
        <v>28</v>
      </c>
      <c r="E448" s="189">
        <v>44770</v>
      </c>
      <c r="F448" s="268" t="s">
        <v>4437</v>
      </c>
      <c r="G448" s="96" t="s">
        <v>2861</v>
      </c>
      <c r="H448" s="96" t="s">
        <v>2862</v>
      </c>
      <c r="I448" s="96" t="s">
        <v>146</v>
      </c>
      <c r="J448" s="96" t="s">
        <v>2863</v>
      </c>
      <c r="K448" s="344">
        <v>16676370</v>
      </c>
      <c r="L448" s="96" t="s">
        <v>3020</v>
      </c>
      <c r="M448" s="96" t="s">
        <v>3772</v>
      </c>
      <c r="N448" s="96"/>
      <c r="O448" s="99" t="s">
        <v>2864</v>
      </c>
      <c r="P448" s="190">
        <v>16676370</v>
      </c>
      <c r="Q448" s="96" t="s">
        <v>146</v>
      </c>
      <c r="R448" s="96" t="s">
        <v>146</v>
      </c>
      <c r="S448" s="99" t="s">
        <v>146</v>
      </c>
      <c r="T448" s="111" t="s">
        <v>43</v>
      </c>
      <c r="U448" s="96" t="s">
        <v>2484</v>
      </c>
      <c r="V448" s="192">
        <v>44771</v>
      </c>
      <c r="W448" s="186" t="e">
        <f t="shared" si="201"/>
        <v>#VALUE!</v>
      </c>
      <c r="X448" s="99" t="e">
        <f t="shared" si="202"/>
        <v>#VALUE!</v>
      </c>
      <c r="Y448" s="99" t="s">
        <v>1317</v>
      </c>
      <c r="Z448" s="99" t="s">
        <v>168</v>
      </c>
      <c r="AA448" s="99" t="s">
        <v>169</v>
      </c>
      <c r="AB448" s="96"/>
      <c r="AC448" s="99"/>
      <c r="AD448" s="97">
        <v>44824</v>
      </c>
      <c r="AE448" s="183" t="s">
        <v>4262</v>
      </c>
      <c r="AF448" s="183"/>
      <c r="AG448" s="186">
        <f t="shared" si="203"/>
        <v>54</v>
      </c>
      <c r="AH448" s="187">
        <f t="shared" si="204"/>
        <v>53</v>
      </c>
      <c r="AI448" s="99" t="s">
        <v>258</v>
      </c>
      <c r="AJ448" s="96" t="s">
        <v>171</v>
      </c>
      <c r="AK448" s="99" t="s">
        <v>3773</v>
      </c>
      <c r="AL448" s="97">
        <v>44819</v>
      </c>
      <c r="AM448" s="204">
        <v>16378203</v>
      </c>
      <c r="AN448" s="96" t="s">
        <v>3774</v>
      </c>
      <c r="AO448" s="99">
        <v>202208423</v>
      </c>
      <c r="AP448" s="181">
        <f t="shared" ref="AP448:AP451" si="207">+K448-AM448</f>
        <v>298167</v>
      </c>
      <c r="AQ448" s="193"/>
      <c r="AR448" s="193"/>
      <c r="AS448" s="99"/>
      <c r="AT448" s="99"/>
      <c r="AU448" s="193"/>
      <c r="AV448" s="99" t="s">
        <v>174</v>
      </c>
      <c r="AW448" s="99" t="s">
        <v>175</v>
      </c>
      <c r="AX448" s="96" t="s">
        <v>2837</v>
      </c>
      <c r="AY448" s="167">
        <f t="shared" ref="AY448:AY451" si="208">+AP448/K448</f>
        <v>1.7879610490772271E-2</v>
      </c>
      <c r="AZ448" s="139">
        <f t="shared" si="178"/>
        <v>1</v>
      </c>
      <c r="BA448" s="139">
        <f>IF(T448="Invitación Privada",1,IF(T448="Invitación Pública",2,0))</f>
        <v>1</v>
      </c>
      <c r="BB448" s="132">
        <f>IF(AA448="CONTRATADO",IF(BA448=1,NETWORKDAYS.INTL(E448,AD448,1,[1]FESTIVOS!$B$3:$B$10)-1,AD448-E448))-BD448</f>
        <v>24</v>
      </c>
      <c r="BD448" s="207">
        <v>14</v>
      </c>
      <c r="BE448" s="208" t="s">
        <v>3889</v>
      </c>
    </row>
    <row r="449" spans="2:57" ht="43.9" customHeight="1" x14ac:dyDescent="0.25">
      <c r="B449" s="100">
        <f t="shared" si="175"/>
        <v>431</v>
      </c>
      <c r="C449" s="110" t="s">
        <v>2865</v>
      </c>
      <c r="D449" s="99" t="s">
        <v>32</v>
      </c>
      <c r="E449" s="189">
        <v>44770</v>
      </c>
      <c r="F449" s="268" t="s">
        <v>4437</v>
      </c>
      <c r="G449" s="143" t="s">
        <v>255</v>
      </c>
      <c r="H449" s="96" t="s">
        <v>1979</v>
      </c>
      <c r="I449" s="96" t="s">
        <v>146</v>
      </c>
      <c r="J449" s="133" t="s">
        <v>1980</v>
      </c>
      <c r="K449" s="343">
        <v>269000000</v>
      </c>
      <c r="L449" s="96" t="s">
        <v>3457</v>
      </c>
      <c r="M449" s="99" t="s">
        <v>2866</v>
      </c>
      <c r="N449" s="99"/>
      <c r="O449" s="99">
        <v>202203909</v>
      </c>
      <c r="P449" s="169"/>
      <c r="Q449" s="96" t="s">
        <v>146</v>
      </c>
      <c r="R449" s="96" t="s">
        <v>146</v>
      </c>
      <c r="S449" s="99" t="s">
        <v>146</v>
      </c>
      <c r="T449" s="111" t="s">
        <v>43</v>
      </c>
      <c r="U449" s="96" t="s">
        <v>1904</v>
      </c>
      <c r="V449" s="119">
        <v>44770</v>
      </c>
      <c r="W449" s="170">
        <v>48</v>
      </c>
      <c r="X449" s="99">
        <v>48</v>
      </c>
      <c r="Y449" s="99" t="s">
        <v>1317</v>
      </c>
      <c r="Z449" s="99" t="s">
        <v>168</v>
      </c>
      <c r="AA449" s="99" t="s">
        <v>169</v>
      </c>
      <c r="AB449" s="96" t="s">
        <v>2867</v>
      </c>
      <c r="AC449" s="99" t="s">
        <v>2868</v>
      </c>
      <c r="AD449" s="97">
        <v>44795</v>
      </c>
      <c r="AE449" s="183" t="s">
        <v>4438</v>
      </c>
      <c r="AF449" s="171"/>
      <c r="AG449" s="170">
        <v>25</v>
      </c>
      <c r="AH449" s="144">
        <v>25</v>
      </c>
      <c r="AI449" s="99" t="s">
        <v>258</v>
      </c>
      <c r="AJ449" s="96" t="s">
        <v>155</v>
      </c>
      <c r="AK449" s="99" t="s">
        <v>3465</v>
      </c>
      <c r="AL449" s="97">
        <v>44783</v>
      </c>
      <c r="AM449" s="204">
        <v>267738100</v>
      </c>
      <c r="AN449" s="96" t="s">
        <v>3466</v>
      </c>
      <c r="AO449" s="99"/>
      <c r="AP449" s="181">
        <f t="shared" si="207"/>
        <v>1261900</v>
      </c>
      <c r="AQ449" s="138"/>
      <c r="AR449" s="138"/>
      <c r="AS449" s="99"/>
      <c r="AT449" s="99"/>
      <c r="AU449" s="138"/>
      <c r="AV449" s="99" t="s">
        <v>174</v>
      </c>
      <c r="AW449" s="99" t="s">
        <v>175</v>
      </c>
      <c r="AX449" s="96" t="s">
        <v>2379</v>
      </c>
      <c r="AY449" s="167">
        <f t="shared" si="208"/>
        <v>4.6910780669144978E-3</v>
      </c>
      <c r="AZ449" s="139">
        <f t="shared" si="178"/>
        <v>1</v>
      </c>
      <c r="BA449" s="139">
        <f>IF(T449="Invitación Privada",1,IF(T449="Invitación Pública",2,0))</f>
        <v>1</v>
      </c>
      <c r="BB449" s="132">
        <f>IF(AA449="CONTRATADO",IF(BA449=1,NETWORKDAYS.INTL(E449,AD449,1,[1]FESTIVOS!$B$3:$B$10)-1,AD449-E449))-BD449</f>
        <v>17</v>
      </c>
      <c r="BC449" s="156"/>
      <c r="BD449" s="162"/>
      <c r="BE449" s="163"/>
    </row>
    <row r="450" spans="2:57" ht="43.9" customHeight="1" x14ac:dyDescent="0.25">
      <c r="B450" s="100">
        <f t="shared" si="175"/>
        <v>432</v>
      </c>
      <c r="C450" s="110" t="s">
        <v>2869</v>
      </c>
      <c r="D450" s="99" t="s">
        <v>28</v>
      </c>
      <c r="E450" s="189">
        <v>44771</v>
      </c>
      <c r="F450" s="268" t="s">
        <v>4437</v>
      </c>
      <c r="G450" s="143" t="s">
        <v>255</v>
      </c>
      <c r="H450" s="96" t="s">
        <v>1621</v>
      </c>
      <c r="I450" s="96" t="s">
        <v>146</v>
      </c>
      <c r="J450" s="133" t="s">
        <v>1622</v>
      </c>
      <c r="K450" s="343">
        <v>299999952</v>
      </c>
      <c r="L450" s="96" t="s">
        <v>1801</v>
      </c>
      <c r="M450" s="99" t="s">
        <v>2870</v>
      </c>
      <c r="N450" s="99"/>
      <c r="O450" s="99">
        <v>202201857</v>
      </c>
      <c r="P450" s="169">
        <v>300000000</v>
      </c>
      <c r="Q450" s="96" t="s">
        <v>146</v>
      </c>
      <c r="R450" s="96" t="s">
        <v>146</v>
      </c>
      <c r="S450" s="99" t="s">
        <v>146</v>
      </c>
      <c r="T450" s="111" t="s">
        <v>43</v>
      </c>
      <c r="U450" s="96" t="s">
        <v>277</v>
      </c>
      <c r="V450" s="119">
        <v>44774</v>
      </c>
      <c r="W450" s="170">
        <v>47</v>
      </c>
      <c r="X450" s="99">
        <v>44</v>
      </c>
      <c r="Y450" s="99" t="s">
        <v>1317</v>
      </c>
      <c r="Z450" s="99" t="s">
        <v>168</v>
      </c>
      <c r="AA450" s="99" t="s">
        <v>169</v>
      </c>
      <c r="AB450" s="96" t="s">
        <v>2871</v>
      </c>
      <c r="AC450" s="99"/>
      <c r="AD450" s="97">
        <v>44798</v>
      </c>
      <c r="AE450" s="183" t="s">
        <v>4438</v>
      </c>
      <c r="AF450" s="171"/>
      <c r="AG450" s="170">
        <v>27</v>
      </c>
      <c r="AH450" s="144">
        <v>24</v>
      </c>
      <c r="AI450" s="99" t="s">
        <v>258</v>
      </c>
      <c r="AJ450" s="96" t="s">
        <v>171</v>
      </c>
      <c r="AK450" s="99" t="s">
        <v>3467</v>
      </c>
      <c r="AL450" s="97">
        <v>44783</v>
      </c>
      <c r="AM450" s="204">
        <v>299999952</v>
      </c>
      <c r="AN450" s="96" t="s">
        <v>3468</v>
      </c>
      <c r="AO450" s="99">
        <v>202207801</v>
      </c>
      <c r="AP450" s="181">
        <f t="shared" si="207"/>
        <v>0</v>
      </c>
      <c r="AQ450" s="138"/>
      <c r="AR450" s="138"/>
      <c r="AS450" s="99"/>
      <c r="AT450" s="99"/>
      <c r="AU450" s="138"/>
      <c r="AV450" s="99"/>
      <c r="AW450" s="99"/>
      <c r="AX450" s="138"/>
      <c r="AY450" s="167">
        <f t="shared" si="208"/>
        <v>0</v>
      </c>
      <c r="AZ450" s="139">
        <f t="shared" si="178"/>
        <v>1</v>
      </c>
      <c r="BA450" s="139">
        <f>IF(T450="Invitación Privada",1,IF(T450="Invitación Pública",2,0))</f>
        <v>1</v>
      </c>
      <c r="BB450" s="132">
        <f>IF(AA450="CONTRATADO",IF(BA450=1,NETWORKDAYS.INTL(E450,AD450,1,[1]FESTIVOS!$B$3:$B$10)-1,AD450-E450))-BD450</f>
        <v>19</v>
      </c>
      <c r="BC450" s="156"/>
      <c r="BD450" s="162"/>
      <c r="BE450" s="163"/>
    </row>
    <row r="451" spans="2:57" ht="43.9" customHeight="1" x14ac:dyDescent="0.25">
      <c r="B451" s="100">
        <f t="shared" si="175"/>
        <v>433</v>
      </c>
      <c r="C451" s="110" t="s">
        <v>2872</v>
      </c>
      <c r="D451" s="99" t="s">
        <v>332</v>
      </c>
      <c r="E451" s="189">
        <v>44771</v>
      </c>
      <c r="F451" s="268" t="s">
        <v>4437</v>
      </c>
      <c r="G451" s="96" t="s">
        <v>2873</v>
      </c>
      <c r="H451" s="96" t="s">
        <v>2874</v>
      </c>
      <c r="I451" s="96" t="s">
        <v>146</v>
      </c>
      <c r="J451" s="133" t="s">
        <v>2875</v>
      </c>
      <c r="K451" s="344">
        <v>84055124</v>
      </c>
      <c r="L451" s="96" t="s">
        <v>3025</v>
      </c>
      <c r="M451" s="96" t="s">
        <v>3187</v>
      </c>
      <c r="N451" s="96"/>
      <c r="O451" s="99" t="s">
        <v>2876</v>
      </c>
      <c r="P451" s="185"/>
      <c r="Q451" s="96" t="s">
        <v>146</v>
      </c>
      <c r="R451" s="96" t="s">
        <v>146</v>
      </c>
      <c r="S451" s="99" t="s">
        <v>146</v>
      </c>
      <c r="T451" s="111" t="s">
        <v>43</v>
      </c>
      <c r="U451" s="96" t="s">
        <v>312</v>
      </c>
      <c r="V451" s="112">
        <v>44778</v>
      </c>
      <c r="W451" s="186" t="e">
        <f>+$D$4-E451</f>
        <v>#VALUE!</v>
      </c>
      <c r="X451" s="99" t="e">
        <f>$D$4-V451</f>
        <v>#VALUE!</v>
      </c>
      <c r="Y451" s="99" t="s">
        <v>1317</v>
      </c>
      <c r="Z451" s="99" t="s">
        <v>168</v>
      </c>
      <c r="AA451" s="99" t="s">
        <v>169</v>
      </c>
      <c r="AB451" s="96" t="s">
        <v>3188</v>
      </c>
      <c r="AC451" s="99"/>
      <c r="AD451" s="97">
        <v>44818</v>
      </c>
      <c r="AE451" s="183" t="s">
        <v>4262</v>
      </c>
      <c r="AF451" s="183"/>
      <c r="AG451" s="186">
        <f>+AD451-E451</f>
        <v>47</v>
      </c>
      <c r="AH451" s="187">
        <f>+AD451-V451</f>
        <v>40</v>
      </c>
      <c r="AI451" s="99" t="s">
        <v>258</v>
      </c>
      <c r="AJ451" s="96" t="s">
        <v>171</v>
      </c>
      <c r="AK451" s="99" t="s">
        <v>3775</v>
      </c>
      <c r="AL451" s="97">
        <v>44816</v>
      </c>
      <c r="AM451" s="204">
        <v>83956858</v>
      </c>
      <c r="AN451" s="96" t="s">
        <v>987</v>
      </c>
      <c r="AO451" s="99">
        <v>202208405</v>
      </c>
      <c r="AP451" s="181">
        <f t="shared" si="207"/>
        <v>98266</v>
      </c>
      <c r="AQ451" s="193"/>
      <c r="AR451" s="193"/>
      <c r="AS451" s="99"/>
      <c r="AT451" s="99"/>
      <c r="AU451" s="193"/>
      <c r="AV451" s="99" t="s">
        <v>174</v>
      </c>
      <c r="AW451" s="99" t="s">
        <v>175</v>
      </c>
      <c r="AX451" s="193"/>
      <c r="AY451" s="167">
        <f t="shared" si="208"/>
        <v>1.1690661475914307E-3</v>
      </c>
      <c r="AZ451" s="139">
        <f t="shared" si="178"/>
        <v>0</v>
      </c>
      <c r="BA451" s="139">
        <f>IF(T451="Invitación Privada",1,IF(T451="Invitación Pública",2,0))</f>
        <v>1</v>
      </c>
      <c r="BB451" s="132">
        <f>IF(AA451="CONTRATADO",IF(BA451=1,NETWORKDAYS.INTL(E451,AD451,1,[1]FESTIVOS!$B$3:$B$10)-1,AD451-E451))-BD451</f>
        <v>21</v>
      </c>
      <c r="BD451" s="207">
        <v>12</v>
      </c>
      <c r="BE451" s="208" t="s">
        <v>3905</v>
      </c>
    </row>
    <row r="452" spans="2:57" ht="43.9" customHeight="1" x14ac:dyDescent="0.25">
      <c r="B452" s="100">
        <f t="shared" si="175"/>
        <v>434</v>
      </c>
      <c r="C452" s="293" t="s">
        <v>2877</v>
      </c>
      <c r="D452" s="265" t="s">
        <v>359</v>
      </c>
      <c r="E452" s="258">
        <v>44771</v>
      </c>
      <c r="F452" s="268" t="s">
        <v>4437</v>
      </c>
      <c r="G452" s="269" t="s">
        <v>2878</v>
      </c>
      <c r="H452" s="265" t="s">
        <v>2879</v>
      </c>
      <c r="I452" s="265" t="s">
        <v>146</v>
      </c>
      <c r="J452" s="269" t="s">
        <v>2880</v>
      </c>
      <c r="K452" s="342">
        <v>35000000</v>
      </c>
      <c r="L452" s="282"/>
      <c r="M452" s="265"/>
      <c r="N452" s="302" t="str">
        <f>MID(M452,5,3)</f>
        <v/>
      </c>
      <c r="O452" s="265">
        <v>202203030</v>
      </c>
      <c r="P452" s="271"/>
      <c r="Q452" s="265" t="s">
        <v>146</v>
      </c>
      <c r="R452" s="265" t="s">
        <v>146</v>
      </c>
      <c r="S452" s="265" t="s">
        <v>146</v>
      </c>
      <c r="T452" s="280" t="str">
        <f>(IF(N452="IPU","INVITACION PUBLICA",(IF(N452="IP-","INVITACION PRIVADA"," "))))</f>
        <v xml:space="preserve"> </v>
      </c>
      <c r="U452" s="269" t="s">
        <v>2849</v>
      </c>
      <c r="V452" s="285">
        <v>44774</v>
      </c>
      <c r="W452" s="303" t="e">
        <f>+$D$4-E452</f>
        <v>#VALUE!</v>
      </c>
      <c r="X452" s="303" t="e">
        <f>$D$4-V452</f>
        <v>#VALUE!</v>
      </c>
      <c r="Y452" s="265" t="s">
        <v>1300</v>
      </c>
      <c r="Z452" s="265" t="s">
        <v>214</v>
      </c>
      <c r="AA452" s="265" t="s">
        <v>215</v>
      </c>
      <c r="AB452" s="265"/>
      <c r="AC452" s="304" t="s">
        <v>3923</v>
      </c>
      <c r="AD452" s="272">
        <v>44790</v>
      </c>
      <c r="AE452" s="272"/>
      <c r="AF452" s="305" t="str">
        <f>+IF(AD452="","",TEXT(AD452,"mmm"))</f>
        <v>ago</v>
      </c>
      <c r="AG452" s="306">
        <f>+AD452-E452</f>
        <v>19</v>
      </c>
      <c r="AH452" s="307">
        <f>+AD452-V452</f>
        <v>16</v>
      </c>
      <c r="AI452" s="265" t="s">
        <v>241</v>
      </c>
      <c r="AJ452" s="265" t="s">
        <v>2290</v>
      </c>
      <c r="AK452" s="265"/>
      <c r="AL452" s="265"/>
      <c r="AM452" s="309"/>
      <c r="AN452" s="269"/>
      <c r="AO452" s="265"/>
      <c r="AP452" s="309"/>
      <c r="AQ452" s="289"/>
      <c r="AR452" s="269"/>
      <c r="AS452" s="265"/>
      <c r="AT452" s="260"/>
      <c r="AU452" s="260"/>
      <c r="AV452" s="200"/>
      <c r="AW452" s="200"/>
      <c r="AX452" s="200"/>
      <c r="AY452" s="200"/>
      <c r="AZ452" s="139">
        <f t="shared" si="178"/>
        <v>0</v>
      </c>
      <c r="BA452" s="200"/>
      <c r="BB452" s="203"/>
      <c r="BC452" s="95"/>
      <c r="BD452" s="2"/>
      <c r="BE452" s="2"/>
    </row>
    <row r="453" spans="2:57" ht="43.9" customHeight="1" x14ac:dyDescent="0.25">
      <c r="B453" s="100">
        <f t="shared" si="175"/>
        <v>435</v>
      </c>
      <c r="C453" s="293" t="s">
        <v>2881</v>
      </c>
      <c r="D453" s="265" t="s">
        <v>359</v>
      </c>
      <c r="E453" s="258">
        <v>44771</v>
      </c>
      <c r="F453" s="268" t="s">
        <v>4437</v>
      </c>
      <c r="G453" s="269" t="s">
        <v>2882</v>
      </c>
      <c r="H453" s="265" t="s">
        <v>2883</v>
      </c>
      <c r="I453" s="265" t="s">
        <v>146</v>
      </c>
      <c r="J453" s="269" t="s">
        <v>2884</v>
      </c>
      <c r="K453" s="342">
        <v>260464881</v>
      </c>
      <c r="L453" s="282"/>
      <c r="M453" s="265"/>
      <c r="N453" s="302" t="str">
        <f>MID(M453,5,3)</f>
        <v/>
      </c>
      <c r="O453" s="265">
        <v>202203588</v>
      </c>
      <c r="P453" s="271"/>
      <c r="Q453" s="265" t="s">
        <v>146</v>
      </c>
      <c r="R453" s="265" t="s">
        <v>146</v>
      </c>
      <c r="S453" s="265" t="s">
        <v>146</v>
      </c>
      <c r="T453" s="280" t="str">
        <f>(IF(N453="IPU","INVITACION PUBLICA",(IF(N453="IP-","INVITACION PRIVADA"," "))))</f>
        <v xml:space="preserve"> </v>
      </c>
      <c r="U453" s="269" t="s">
        <v>2849</v>
      </c>
      <c r="V453" s="285">
        <v>44774</v>
      </c>
      <c r="W453" s="303" t="e">
        <f>+$D$4-E453</f>
        <v>#VALUE!</v>
      </c>
      <c r="X453" s="303" t="e">
        <f>$D$4-V453</f>
        <v>#VALUE!</v>
      </c>
      <c r="Y453" s="265" t="s">
        <v>1300</v>
      </c>
      <c r="Z453" s="265" t="s">
        <v>214</v>
      </c>
      <c r="AA453" s="265" t="s">
        <v>215</v>
      </c>
      <c r="AB453" s="265"/>
      <c r="AC453" s="304" t="s">
        <v>3923</v>
      </c>
      <c r="AD453" s="272">
        <v>44790</v>
      </c>
      <c r="AE453" s="272"/>
      <c r="AF453" s="305" t="str">
        <f>+IF(AD453="","",TEXT(AD453,"mmm"))</f>
        <v>ago</v>
      </c>
      <c r="AG453" s="306">
        <f>+AD453-E453</f>
        <v>19</v>
      </c>
      <c r="AH453" s="307">
        <f>+AD453-V453</f>
        <v>16</v>
      </c>
      <c r="AI453" s="265" t="s">
        <v>241</v>
      </c>
      <c r="AJ453" s="265" t="s">
        <v>2290</v>
      </c>
      <c r="AK453" s="265"/>
      <c r="AL453" s="265"/>
      <c r="AM453" s="309"/>
      <c r="AN453" s="269"/>
      <c r="AO453" s="265"/>
      <c r="AP453" s="309"/>
      <c r="AQ453" s="289"/>
      <c r="AR453" s="269"/>
      <c r="AS453" s="265"/>
      <c r="AT453" s="260"/>
      <c r="AU453" s="260"/>
      <c r="AV453" s="200"/>
      <c r="AW453" s="200"/>
      <c r="AX453" s="200"/>
      <c r="AY453" s="200"/>
      <c r="AZ453" s="139">
        <f t="shared" si="178"/>
        <v>0</v>
      </c>
      <c r="BA453" s="200"/>
      <c r="BB453" s="203"/>
      <c r="BC453" s="95"/>
      <c r="BD453" s="2"/>
      <c r="BE453" s="2"/>
    </row>
    <row r="454" spans="2:57" ht="43.9" customHeight="1" x14ac:dyDescent="0.25">
      <c r="B454" s="100">
        <f t="shared" si="175"/>
        <v>436</v>
      </c>
      <c r="C454" s="110" t="s">
        <v>2885</v>
      </c>
      <c r="D454" s="99" t="s">
        <v>33</v>
      </c>
      <c r="E454" s="189">
        <v>44743</v>
      </c>
      <c r="F454" s="268" t="s">
        <v>4437</v>
      </c>
      <c r="G454" s="96" t="s">
        <v>2886</v>
      </c>
      <c r="H454" s="96" t="s">
        <v>2887</v>
      </c>
      <c r="I454" s="96" t="s">
        <v>146</v>
      </c>
      <c r="J454" s="133" t="s">
        <v>2888</v>
      </c>
      <c r="K454" s="343">
        <v>499939720</v>
      </c>
      <c r="L454" s="96" t="s">
        <v>3469</v>
      </c>
      <c r="M454" s="99" t="s">
        <v>3526</v>
      </c>
      <c r="N454" s="99"/>
      <c r="O454" s="99">
        <v>202205147</v>
      </c>
      <c r="P454" s="169"/>
      <c r="Q454" s="96" t="s">
        <v>146</v>
      </c>
      <c r="R454" s="96" t="s">
        <v>146</v>
      </c>
      <c r="S454" s="99" t="s">
        <v>146</v>
      </c>
      <c r="T454" s="111" t="s">
        <v>43</v>
      </c>
      <c r="U454" s="96" t="s">
        <v>2889</v>
      </c>
      <c r="V454" s="119">
        <v>44776</v>
      </c>
      <c r="W454" s="170">
        <v>75</v>
      </c>
      <c r="X454" s="99">
        <v>42</v>
      </c>
      <c r="Y454" s="99" t="s">
        <v>1317</v>
      </c>
      <c r="Z454" s="99" t="s">
        <v>168</v>
      </c>
      <c r="AA454" s="99" t="s">
        <v>169</v>
      </c>
      <c r="AB454" s="96"/>
      <c r="AC454" s="99"/>
      <c r="AD454" s="97">
        <v>44792</v>
      </c>
      <c r="AE454" s="183" t="s">
        <v>4438</v>
      </c>
      <c r="AF454" s="171"/>
      <c r="AG454" s="170">
        <v>49</v>
      </c>
      <c r="AH454" s="144">
        <v>16</v>
      </c>
      <c r="AI454" s="99" t="s">
        <v>258</v>
      </c>
      <c r="AJ454" s="96" t="s">
        <v>171</v>
      </c>
      <c r="AK454" s="99" t="s">
        <v>3470</v>
      </c>
      <c r="AL454" s="97">
        <v>44789</v>
      </c>
      <c r="AM454" s="204">
        <v>499140720</v>
      </c>
      <c r="AN454" s="96" t="s">
        <v>3471</v>
      </c>
      <c r="AO454" s="99">
        <v>202207831</v>
      </c>
      <c r="AP454" s="181">
        <f t="shared" ref="AP454" si="209">+K454-AM454</f>
        <v>799000</v>
      </c>
      <c r="AQ454" s="138"/>
      <c r="AR454" s="138"/>
      <c r="AS454" s="99"/>
      <c r="AT454" s="99"/>
      <c r="AU454" s="138"/>
      <c r="AV454" s="99" t="s">
        <v>174</v>
      </c>
      <c r="AW454" s="99" t="s">
        <v>175</v>
      </c>
      <c r="AX454" s="138"/>
      <c r="AY454" s="167">
        <f>+AP454/K454</f>
        <v>1.598192678109273E-3</v>
      </c>
      <c r="AZ454" s="139">
        <f t="shared" si="178"/>
        <v>1</v>
      </c>
      <c r="BA454" s="139">
        <f>IF(T454="Invitación Privada",1,IF(T454="Invitación Pública",2,0))</f>
        <v>1</v>
      </c>
      <c r="BB454" s="132">
        <f>IF(AA454="CONTRATADO",IF(BA454=1,NETWORKDAYS.INTL(E454,AD454,1,[1]FESTIVOS!$B$3:$B$10)-1,AD454-E454))-BD454</f>
        <v>35</v>
      </c>
      <c r="BC454" s="156"/>
      <c r="BD454" s="162"/>
      <c r="BE454" s="163"/>
    </row>
    <row r="455" spans="2:57" ht="43.9" customHeight="1" x14ac:dyDescent="0.25">
      <c r="B455" s="100">
        <f t="shared" si="175"/>
        <v>437</v>
      </c>
      <c r="C455" s="293" t="s">
        <v>4325</v>
      </c>
      <c r="D455" s="265"/>
      <c r="E455" s="258">
        <v>44774</v>
      </c>
      <c r="F455" s="268" t="s">
        <v>4438</v>
      </c>
      <c r="G455" s="269"/>
      <c r="H455" s="265"/>
      <c r="I455" s="265" t="s">
        <v>146</v>
      </c>
      <c r="J455" s="269" t="s">
        <v>4326</v>
      </c>
      <c r="K455" s="342"/>
      <c r="L455" s="269"/>
      <c r="M455" s="265"/>
      <c r="N455" s="302" t="str">
        <f>MID(M455,5,3)</f>
        <v/>
      </c>
      <c r="O455" s="277"/>
      <c r="P455" s="271"/>
      <c r="Q455" s="265" t="s">
        <v>146</v>
      </c>
      <c r="R455" s="265" t="s">
        <v>146</v>
      </c>
      <c r="S455" s="265" t="s">
        <v>146</v>
      </c>
      <c r="T455" s="280" t="str">
        <f>(IF(N455="IPU","INVITACION PUBLICA",(IF(N455="IP-","INVITACION PRIVADA"," "))))</f>
        <v xml:space="preserve"> </v>
      </c>
      <c r="U455" s="269" t="s">
        <v>4327</v>
      </c>
      <c r="V455" s="284">
        <v>44774</v>
      </c>
      <c r="W455" s="303" t="e">
        <f>+$D$4-E455</f>
        <v>#VALUE!</v>
      </c>
      <c r="X455" s="303" t="e">
        <f>$D$4-V455</f>
        <v>#VALUE!</v>
      </c>
      <c r="Y455" s="265" t="s">
        <v>1317</v>
      </c>
      <c r="Z455" s="265" t="s">
        <v>948</v>
      </c>
      <c r="AA455" s="265" t="s">
        <v>153</v>
      </c>
      <c r="AB455" s="265"/>
      <c r="AC455" s="304"/>
      <c r="AD455" s="284">
        <v>44774</v>
      </c>
      <c r="AE455" s="284"/>
      <c r="AF455" s="305" t="str">
        <f>+IF(AD455="","",TEXT(AD455,"mmm"))</f>
        <v>ago</v>
      </c>
      <c r="AG455" s="306">
        <f>+AD455-E455</f>
        <v>0</v>
      </c>
      <c r="AH455" s="307">
        <f>+AD455-V455</f>
        <v>0</v>
      </c>
      <c r="AI455" s="265" t="s">
        <v>146</v>
      </c>
      <c r="AJ455" s="265" t="s">
        <v>146</v>
      </c>
      <c r="AK455" s="265"/>
      <c r="AL455" s="265"/>
      <c r="AM455" s="265"/>
      <c r="AN455" s="309"/>
      <c r="AO455" s="269"/>
      <c r="AP455" s="265"/>
      <c r="AQ455" s="309"/>
      <c r="AR455" s="289"/>
      <c r="AS455" s="269"/>
      <c r="AT455" s="265"/>
      <c r="AU455" s="260"/>
      <c r="AV455" s="260"/>
      <c r="AW455" s="200"/>
      <c r="AX455" s="200"/>
      <c r="AY455" s="200"/>
      <c r="AZ455" s="139">
        <f t="shared" si="178"/>
        <v>0</v>
      </c>
      <c r="BA455" s="200"/>
      <c r="BB455" s="200"/>
      <c r="BC455" s="3"/>
      <c r="BD455" s="95"/>
      <c r="BE455" s="2"/>
    </row>
    <row r="456" spans="2:57" ht="43.9" customHeight="1" x14ac:dyDescent="0.25">
      <c r="B456" s="100">
        <f t="shared" si="175"/>
        <v>438</v>
      </c>
      <c r="C456" s="293" t="s">
        <v>4328</v>
      </c>
      <c r="D456" s="265"/>
      <c r="E456" s="258">
        <v>44774</v>
      </c>
      <c r="F456" s="268" t="s">
        <v>4438</v>
      </c>
      <c r="G456" s="269"/>
      <c r="H456" s="265"/>
      <c r="I456" s="265" t="s">
        <v>146</v>
      </c>
      <c r="J456" s="269" t="s">
        <v>4326</v>
      </c>
      <c r="K456" s="342"/>
      <c r="L456" s="269"/>
      <c r="M456" s="265"/>
      <c r="N456" s="302" t="str">
        <f>MID(M456,5,3)</f>
        <v/>
      </c>
      <c r="O456" s="277"/>
      <c r="P456" s="271"/>
      <c r="Q456" s="265" t="s">
        <v>146</v>
      </c>
      <c r="R456" s="265" t="s">
        <v>146</v>
      </c>
      <c r="S456" s="265" t="s">
        <v>146</v>
      </c>
      <c r="T456" s="280" t="str">
        <f>(IF(N456="IPU","INVITACION PUBLICA",(IF(N456="IP-","INVITACION PRIVADA"," "))))</f>
        <v xml:space="preserve"> </v>
      </c>
      <c r="U456" s="269" t="s">
        <v>4327</v>
      </c>
      <c r="V456" s="284">
        <v>44774</v>
      </c>
      <c r="W456" s="303" t="e">
        <f>+$D$4-E456</f>
        <v>#VALUE!</v>
      </c>
      <c r="X456" s="303" t="e">
        <f>$D$4-V456</f>
        <v>#VALUE!</v>
      </c>
      <c r="Y456" s="265" t="s">
        <v>1317</v>
      </c>
      <c r="Z456" s="265" t="s">
        <v>948</v>
      </c>
      <c r="AA456" s="265" t="s">
        <v>153</v>
      </c>
      <c r="AB456" s="265"/>
      <c r="AC456" s="304"/>
      <c r="AD456" s="284">
        <v>44774</v>
      </c>
      <c r="AE456" s="284"/>
      <c r="AF456" s="305" t="str">
        <f>+IF(AD456="","",TEXT(AD456,"mmm"))</f>
        <v>ago</v>
      </c>
      <c r="AG456" s="306">
        <f>+AD456-E456</f>
        <v>0</v>
      </c>
      <c r="AH456" s="307">
        <f>+AD456-V456</f>
        <v>0</v>
      </c>
      <c r="AI456" s="265" t="s">
        <v>146</v>
      </c>
      <c r="AJ456" s="265" t="s">
        <v>146</v>
      </c>
      <c r="AK456" s="265"/>
      <c r="AL456" s="265"/>
      <c r="AM456" s="265"/>
      <c r="AN456" s="309"/>
      <c r="AO456" s="269"/>
      <c r="AP456" s="265"/>
      <c r="AQ456" s="309"/>
      <c r="AR456" s="289"/>
      <c r="AS456" s="269"/>
      <c r="AT456" s="265"/>
      <c r="AU456" s="260"/>
      <c r="AV456" s="260"/>
      <c r="AW456" s="200"/>
      <c r="AX456" s="200"/>
      <c r="AY456" s="200"/>
      <c r="AZ456" s="139">
        <f t="shared" si="178"/>
        <v>0</v>
      </c>
      <c r="BA456" s="200"/>
      <c r="BB456" s="200"/>
      <c r="BC456" s="3"/>
      <c r="BD456" s="95"/>
      <c r="BE456" s="2"/>
    </row>
    <row r="457" spans="2:57" ht="43.9" customHeight="1" x14ac:dyDescent="0.25">
      <c r="B457" s="100">
        <f t="shared" si="175"/>
        <v>439</v>
      </c>
      <c r="C457" s="293" t="s">
        <v>4329</v>
      </c>
      <c r="D457" s="265"/>
      <c r="E457" s="258">
        <v>44774</v>
      </c>
      <c r="F457" s="268" t="s">
        <v>4438</v>
      </c>
      <c r="G457" s="269"/>
      <c r="H457" s="265"/>
      <c r="I457" s="265" t="s">
        <v>146</v>
      </c>
      <c r="J457" s="269" t="s">
        <v>4326</v>
      </c>
      <c r="K457" s="342"/>
      <c r="L457" s="269"/>
      <c r="M457" s="265"/>
      <c r="N457" s="302" t="str">
        <f>MID(M457,5,3)</f>
        <v/>
      </c>
      <c r="O457" s="277"/>
      <c r="P457" s="271"/>
      <c r="Q457" s="265" t="s">
        <v>146</v>
      </c>
      <c r="R457" s="265" t="s">
        <v>146</v>
      </c>
      <c r="S457" s="265" t="s">
        <v>146</v>
      </c>
      <c r="T457" s="280" t="str">
        <f>(IF(N457="IPU","INVITACION PUBLICA",(IF(N457="IP-","INVITACION PRIVADA"," "))))</f>
        <v xml:space="preserve"> </v>
      </c>
      <c r="U457" s="269" t="s">
        <v>4327</v>
      </c>
      <c r="V457" s="284">
        <v>44774</v>
      </c>
      <c r="W457" s="303" t="e">
        <f>+$D$4-E457</f>
        <v>#VALUE!</v>
      </c>
      <c r="X457" s="303" t="e">
        <f>$D$4-V457</f>
        <v>#VALUE!</v>
      </c>
      <c r="Y457" s="265" t="s">
        <v>1317</v>
      </c>
      <c r="Z457" s="265" t="s">
        <v>948</v>
      </c>
      <c r="AA457" s="265" t="s">
        <v>153</v>
      </c>
      <c r="AB457" s="265"/>
      <c r="AC457" s="304"/>
      <c r="AD457" s="284">
        <v>44774</v>
      </c>
      <c r="AE457" s="284"/>
      <c r="AF457" s="305" t="str">
        <f>+IF(AD457="","",TEXT(AD457,"mmm"))</f>
        <v>ago</v>
      </c>
      <c r="AG457" s="306">
        <f>+AD457-E457</f>
        <v>0</v>
      </c>
      <c r="AH457" s="307">
        <f>+AD457-V457</f>
        <v>0</v>
      </c>
      <c r="AI457" s="265" t="s">
        <v>146</v>
      </c>
      <c r="AJ457" s="265" t="s">
        <v>146</v>
      </c>
      <c r="AK457" s="265"/>
      <c r="AL457" s="265"/>
      <c r="AM457" s="265"/>
      <c r="AN457" s="309"/>
      <c r="AO457" s="269"/>
      <c r="AP457" s="265"/>
      <c r="AQ457" s="309"/>
      <c r="AR457" s="289"/>
      <c r="AS457" s="269"/>
      <c r="AT457" s="265"/>
      <c r="AU457" s="260"/>
      <c r="AV457" s="260"/>
      <c r="AW457" s="200"/>
      <c r="AX457" s="200"/>
      <c r="AY457" s="200"/>
      <c r="AZ457" s="139">
        <f t="shared" si="178"/>
        <v>0</v>
      </c>
      <c r="BA457" s="200"/>
      <c r="BB457" s="200"/>
      <c r="BC457" s="3"/>
      <c r="BD457" s="95"/>
      <c r="BE457" s="2"/>
    </row>
    <row r="458" spans="2:57" ht="43.9" customHeight="1" x14ac:dyDescent="0.25">
      <c r="B458" s="100">
        <f t="shared" si="175"/>
        <v>440</v>
      </c>
      <c r="C458" s="110" t="s">
        <v>2890</v>
      </c>
      <c r="D458" s="99" t="s">
        <v>28</v>
      </c>
      <c r="E458" s="189">
        <v>44775</v>
      </c>
      <c r="F458" s="268" t="s">
        <v>4438</v>
      </c>
      <c r="G458" s="96" t="s">
        <v>2891</v>
      </c>
      <c r="H458" s="96" t="s">
        <v>2892</v>
      </c>
      <c r="I458" s="96" t="s">
        <v>146</v>
      </c>
      <c r="J458" s="96" t="s">
        <v>2893</v>
      </c>
      <c r="K458" s="344">
        <v>2748900</v>
      </c>
      <c r="L458" s="96"/>
      <c r="M458" s="96" t="s">
        <v>3558</v>
      </c>
      <c r="N458" s="96"/>
      <c r="O458" s="99">
        <v>202205145</v>
      </c>
      <c r="P458" s="185"/>
      <c r="Q458" s="96" t="s">
        <v>146</v>
      </c>
      <c r="R458" s="96" t="s">
        <v>146</v>
      </c>
      <c r="S458" s="99" t="s">
        <v>146</v>
      </c>
      <c r="T458" s="111" t="s">
        <v>43</v>
      </c>
      <c r="U458" s="96" t="s">
        <v>2527</v>
      </c>
      <c r="V458" s="189">
        <v>44775</v>
      </c>
      <c r="W458" s="186">
        <v>98</v>
      </c>
      <c r="X458" s="99">
        <v>98</v>
      </c>
      <c r="Y458" s="99" t="s">
        <v>1317</v>
      </c>
      <c r="Z458" s="99" t="s">
        <v>168</v>
      </c>
      <c r="AA458" s="99" t="s">
        <v>169</v>
      </c>
      <c r="AB458" s="96" t="s">
        <v>3559</v>
      </c>
      <c r="AC458" s="96"/>
      <c r="AD458" s="97">
        <v>44846</v>
      </c>
      <c r="AE458" s="183" t="s">
        <v>4271</v>
      </c>
      <c r="AF458" s="186">
        <v>71</v>
      </c>
      <c r="AG458" s="186"/>
      <c r="AH458" s="187">
        <v>71</v>
      </c>
      <c r="AI458" s="99" t="s">
        <v>258</v>
      </c>
      <c r="AJ458" s="96" t="s">
        <v>171</v>
      </c>
      <c r="AK458" s="99" t="s">
        <v>3973</v>
      </c>
      <c r="AL458" s="97">
        <v>44811</v>
      </c>
      <c r="AM458" s="204">
        <v>2748900</v>
      </c>
      <c r="AN458" s="96" t="s">
        <v>3974</v>
      </c>
      <c r="AO458" s="99">
        <v>202208319</v>
      </c>
      <c r="AP458" s="181">
        <f t="shared" ref="AP458:AP464" si="210">+K458-AM458</f>
        <v>0</v>
      </c>
      <c r="AQ458" s="99" t="s">
        <v>174</v>
      </c>
      <c r="AR458" s="99" t="s">
        <v>175</v>
      </c>
      <c r="AS458" s="203"/>
      <c r="AT458" s="200"/>
      <c r="AU458" s="200"/>
      <c r="AV458" s="260"/>
      <c r="AW458" s="260"/>
      <c r="AX458" s="260"/>
      <c r="AY458" s="167">
        <f t="shared" ref="AY458:AY464" si="211">+AP458/K458</f>
        <v>0</v>
      </c>
      <c r="AZ458" s="139">
        <f t="shared" si="178"/>
        <v>1</v>
      </c>
      <c r="BA458" s="139">
        <f t="shared" ref="BA458:BA464" si="212">IF(T458="Invitación Privada",1,IF(T458="Invitación Pública",2,0))</f>
        <v>1</v>
      </c>
      <c r="BB458" s="132">
        <f>IF(AA458="CONTRATADO",IF(BA458=1,NETWORKDAYS.INTL(E458,AD458,1,[1]FESTIVOS!$B$3:$B$10)-1,AD458-E458))-BD458</f>
        <v>46</v>
      </c>
      <c r="BD458" s="207">
        <v>5</v>
      </c>
      <c r="BE458" s="208" t="s">
        <v>3990</v>
      </c>
    </row>
    <row r="459" spans="2:57" ht="43.9" customHeight="1" x14ac:dyDescent="0.25">
      <c r="B459" s="100">
        <f t="shared" si="175"/>
        <v>441</v>
      </c>
      <c r="C459" s="110" t="s">
        <v>2894</v>
      </c>
      <c r="D459" s="99" t="s">
        <v>28</v>
      </c>
      <c r="E459" s="189">
        <v>44775</v>
      </c>
      <c r="F459" s="268" t="s">
        <v>4438</v>
      </c>
      <c r="G459" s="96" t="s">
        <v>2895</v>
      </c>
      <c r="H459" s="96" t="s">
        <v>2896</v>
      </c>
      <c r="I459" s="96" t="s">
        <v>146</v>
      </c>
      <c r="J459" s="133" t="s">
        <v>2897</v>
      </c>
      <c r="K459" s="343">
        <v>6631930</v>
      </c>
      <c r="L459" s="96" t="s">
        <v>3062</v>
      </c>
      <c r="M459" s="96" t="s">
        <v>3472</v>
      </c>
      <c r="N459" s="96"/>
      <c r="O459" s="99">
        <v>202205244</v>
      </c>
      <c r="P459" s="168">
        <v>6631930</v>
      </c>
      <c r="Q459" s="96" t="s">
        <v>146</v>
      </c>
      <c r="R459" s="96" t="s">
        <v>146</v>
      </c>
      <c r="S459" s="99" t="s">
        <v>146</v>
      </c>
      <c r="T459" s="111" t="s">
        <v>43</v>
      </c>
      <c r="U459" s="96" t="s">
        <v>2484</v>
      </c>
      <c r="V459" s="119">
        <v>44776</v>
      </c>
      <c r="W459" s="170">
        <v>43</v>
      </c>
      <c r="X459" s="99">
        <v>42</v>
      </c>
      <c r="Y459" s="99" t="s">
        <v>1317</v>
      </c>
      <c r="Z459" s="99" t="s">
        <v>168</v>
      </c>
      <c r="AA459" s="99" t="s">
        <v>169</v>
      </c>
      <c r="AB459" s="96"/>
      <c r="AC459" s="99"/>
      <c r="AD459" s="97">
        <v>44803</v>
      </c>
      <c r="AE459" s="183" t="s">
        <v>4438</v>
      </c>
      <c r="AF459" s="171"/>
      <c r="AG459" s="170">
        <v>28</v>
      </c>
      <c r="AH459" s="144">
        <v>27</v>
      </c>
      <c r="AI459" s="99" t="s">
        <v>258</v>
      </c>
      <c r="AJ459" s="96" t="s">
        <v>171</v>
      </c>
      <c r="AK459" s="99" t="s">
        <v>3473</v>
      </c>
      <c r="AL459" s="97">
        <v>44799</v>
      </c>
      <c r="AM459" s="204">
        <v>6631930</v>
      </c>
      <c r="AN459" s="96" t="s">
        <v>3474</v>
      </c>
      <c r="AO459" s="99"/>
      <c r="AP459" s="181">
        <f t="shared" si="210"/>
        <v>0</v>
      </c>
      <c r="AQ459" s="138"/>
      <c r="AR459" s="138"/>
      <c r="AS459" s="99"/>
      <c r="AT459" s="99"/>
      <c r="AU459" s="138"/>
      <c r="AV459" s="99" t="s">
        <v>174</v>
      </c>
      <c r="AW459" s="99" t="s">
        <v>175</v>
      </c>
      <c r="AX459" s="138"/>
      <c r="AY459" s="167">
        <f t="shared" si="211"/>
        <v>0</v>
      </c>
      <c r="AZ459" s="139">
        <f t="shared" si="178"/>
        <v>1</v>
      </c>
      <c r="BA459" s="139">
        <f t="shared" si="212"/>
        <v>1</v>
      </c>
      <c r="BB459" s="132">
        <f>IF(AA459="CONTRATADO",IF(BA459=1,NETWORKDAYS.INTL(E459,AD459,1,[1]FESTIVOS!$B$3:$B$10)-1,AD459-E459))-BD459</f>
        <v>20</v>
      </c>
      <c r="BC459" s="156"/>
      <c r="BD459" s="162"/>
      <c r="BE459" s="163"/>
    </row>
    <row r="460" spans="2:57" ht="43.9" customHeight="1" x14ac:dyDescent="0.25">
      <c r="B460" s="100">
        <f t="shared" si="175"/>
        <v>442</v>
      </c>
      <c r="C460" s="110" t="s">
        <v>2898</v>
      </c>
      <c r="D460" s="99" t="s">
        <v>33</v>
      </c>
      <c r="E460" s="189">
        <v>44775</v>
      </c>
      <c r="F460" s="268" t="s">
        <v>4438</v>
      </c>
      <c r="G460" s="96" t="s">
        <v>2899</v>
      </c>
      <c r="H460" s="96" t="s">
        <v>2900</v>
      </c>
      <c r="I460" s="96" t="s">
        <v>146</v>
      </c>
      <c r="J460" s="133" t="s">
        <v>2901</v>
      </c>
      <c r="K460" s="344">
        <v>498845738</v>
      </c>
      <c r="L460" s="96" t="s">
        <v>3025</v>
      </c>
      <c r="M460" s="96" t="s">
        <v>3776</v>
      </c>
      <c r="N460" s="96"/>
      <c r="O460" s="99">
        <v>202202411</v>
      </c>
      <c r="P460" s="185">
        <v>503813789</v>
      </c>
      <c r="Q460" s="96" t="s">
        <v>146</v>
      </c>
      <c r="R460" s="96" t="s">
        <v>146</v>
      </c>
      <c r="S460" s="99" t="s">
        <v>146</v>
      </c>
      <c r="T460" s="111" t="s">
        <v>43</v>
      </c>
      <c r="U460" s="96" t="s">
        <v>187</v>
      </c>
      <c r="V460" s="192">
        <v>44776</v>
      </c>
      <c r="W460" s="186" t="e">
        <f>+$D$4-E460</f>
        <v>#VALUE!</v>
      </c>
      <c r="X460" s="99" t="e">
        <f>$D$4-V460</f>
        <v>#VALUE!</v>
      </c>
      <c r="Y460" s="99" t="s">
        <v>1317</v>
      </c>
      <c r="Z460" s="99" t="s">
        <v>168</v>
      </c>
      <c r="AA460" s="99" t="s">
        <v>169</v>
      </c>
      <c r="AB460" s="96"/>
      <c r="AC460" s="99"/>
      <c r="AD460" s="97">
        <v>44812</v>
      </c>
      <c r="AE460" s="183" t="s">
        <v>4262</v>
      </c>
      <c r="AF460" s="183"/>
      <c r="AG460" s="186">
        <f>+AD460-E460</f>
        <v>37</v>
      </c>
      <c r="AH460" s="187">
        <f>+AD460-V460</f>
        <v>36</v>
      </c>
      <c r="AI460" s="99" t="s">
        <v>258</v>
      </c>
      <c r="AJ460" s="96" t="s">
        <v>171</v>
      </c>
      <c r="AK460" s="97" t="s">
        <v>3777</v>
      </c>
      <c r="AL460" s="97">
        <v>44809</v>
      </c>
      <c r="AM460" s="204">
        <v>498814757</v>
      </c>
      <c r="AN460" s="96" t="s">
        <v>3763</v>
      </c>
      <c r="AO460" s="99">
        <v>202208317</v>
      </c>
      <c r="AP460" s="181">
        <f t="shared" si="210"/>
        <v>30981</v>
      </c>
      <c r="AQ460" s="193"/>
      <c r="AR460" s="193"/>
      <c r="AS460" s="99"/>
      <c r="AT460" s="99"/>
      <c r="AU460" s="193"/>
      <c r="AV460" s="99" t="s">
        <v>1000</v>
      </c>
      <c r="AW460" s="99" t="s">
        <v>692</v>
      </c>
      <c r="AX460" s="193"/>
      <c r="AY460" s="167">
        <f t="shared" si="211"/>
        <v>6.2105371741193467E-5</v>
      </c>
      <c r="AZ460" s="139">
        <f t="shared" si="178"/>
        <v>1</v>
      </c>
      <c r="BA460" s="139">
        <f t="shared" si="212"/>
        <v>1</v>
      </c>
      <c r="BB460" s="132">
        <f>IF(AA460="CONTRATADO",IF(BA460=1,NETWORKDAYS.INTL(E460,AD460,1,[1]FESTIVOS!$B$3:$B$10)-1,AD460-E460))-BD460</f>
        <v>27</v>
      </c>
      <c r="BD460" s="207"/>
      <c r="BE460" s="208"/>
    </row>
    <row r="461" spans="2:57" ht="43.9" customHeight="1" x14ac:dyDescent="0.25">
      <c r="B461" s="100">
        <f t="shared" si="175"/>
        <v>443</v>
      </c>
      <c r="C461" s="110" t="s">
        <v>2902</v>
      </c>
      <c r="D461" s="99" t="s">
        <v>28</v>
      </c>
      <c r="E461" s="189">
        <v>44775</v>
      </c>
      <c r="F461" s="268" t="s">
        <v>4438</v>
      </c>
      <c r="G461" s="191" t="s">
        <v>255</v>
      </c>
      <c r="H461" s="96" t="s">
        <v>1394</v>
      </c>
      <c r="I461" s="96" t="s">
        <v>146</v>
      </c>
      <c r="J461" s="133" t="s">
        <v>2149</v>
      </c>
      <c r="K461" s="344">
        <v>207605670</v>
      </c>
      <c r="L461" s="96" t="s">
        <v>3778</v>
      </c>
      <c r="M461" s="96" t="s">
        <v>3779</v>
      </c>
      <c r="N461" s="96"/>
      <c r="O461" s="99">
        <v>202202669</v>
      </c>
      <c r="P461" s="185">
        <v>211028000</v>
      </c>
      <c r="Q461" s="96" t="s">
        <v>146</v>
      </c>
      <c r="R461" s="96" t="s">
        <v>146</v>
      </c>
      <c r="S461" s="99" t="s">
        <v>146</v>
      </c>
      <c r="T461" s="111" t="s">
        <v>43</v>
      </c>
      <c r="U461" s="96" t="s">
        <v>503</v>
      </c>
      <c r="V461" s="192">
        <v>44775</v>
      </c>
      <c r="W461" s="186" t="e">
        <f>+$D$4-E461</f>
        <v>#VALUE!</v>
      </c>
      <c r="X461" s="99" t="e">
        <f>$D$4-V461</f>
        <v>#VALUE!</v>
      </c>
      <c r="Y461" s="99" t="s">
        <v>1317</v>
      </c>
      <c r="Z461" s="99" t="s">
        <v>168</v>
      </c>
      <c r="AA461" s="99" t="s">
        <v>169</v>
      </c>
      <c r="AB461" s="96"/>
      <c r="AC461" s="99"/>
      <c r="AD461" s="97">
        <v>44820</v>
      </c>
      <c r="AE461" s="183" t="s">
        <v>4262</v>
      </c>
      <c r="AF461" s="183"/>
      <c r="AG461" s="186">
        <f>+AD461-E461</f>
        <v>45</v>
      </c>
      <c r="AH461" s="187">
        <f>+AD461-V461</f>
        <v>45</v>
      </c>
      <c r="AI461" s="99" t="s">
        <v>258</v>
      </c>
      <c r="AJ461" s="96" t="s">
        <v>155</v>
      </c>
      <c r="AK461" s="99" t="s">
        <v>3780</v>
      </c>
      <c r="AL461" s="97">
        <v>44818</v>
      </c>
      <c r="AM461" s="204">
        <v>206567640</v>
      </c>
      <c r="AN461" s="96" t="s">
        <v>3008</v>
      </c>
      <c r="AO461" s="99">
        <v>202208411</v>
      </c>
      <c r="AP461" s="181">
        <f t="shared" si="210"/>
        <v>1038030</v>
      </c>
      <c r="AQ461" s="193"/>
      <c r="AR461" s="193"/>
      <c r="AS461" s="99"/>
      <c r="AT461" s="99"/>
      <c r="AU461" s="193"/>
      <c r="AV461" s="99" t="s">
        <v>174</v>
      </c>
      <c r="AW461" s="99" t="s">
        <v>175</v>
      </c>
      <c r="AX461" s="193"/>
      <c r="AY461" s="167">
        <f t="shared" si="211"/>
        <v>5.000007947759808E-3</v>
      </c>
      <c r="AZ461" s="139">
        <f t="shared" si="178"/>
        <v>1</v>
      </c>
      <c r="BA461" s="139">
        <f t="shared" si="212"/>
        <v>1</v>
      </c>
      <c r="BB461" s="132">
        <f>IF(AA461="CONTRATADO",IF(BA461=1,NETWORKDAYS.INTL(E461,AD461,1,[1]FESTIVOS!$B$3:$B$10)-1,AD461-E461))-BD461</f>
        <v>33</v>
      </c>
      <c r="BD461" s="207"/>
      <c r="BE461" s="208"/>
    </row>
    <row r="462" spans="2:57" ht="43.9" customHeight="1" x14ac:dyDescent="0.25">
      <c r="B462" s="100">
        <f t="shared" si="175"/>
        <v>444</v>
      </c>
      <c r="C462" s="110" t="s">
        <v>2903</v>
      </c>
      <c r="D462" s="99" t="s">
        <v>28</v>
      </c>
      <c r="E462" s="189">
        <v>44776</v>
      </c>
      <c r="F462" s="268" t="s">
        <v>4438</v>
      </c>
      <c r="G462" s="143" t="s">
        <v>255</v>
      </c>
      <c r="H462" s="96" t="s">
        <v>1548</v>
      </c>
      <c r="I462" s="96" t="s">
        <v>146</v>
      </c>
      <c r="J462" s="133" t="s">
        <v>1549</v>
      </c>
      <c r="K462" s="343">
        <v>244211285</v>
      </c>
      <c r="L462" s="99" t="s">
        <v>3030</v>
      </c>
      <c r="M462" s="96" t="s">
        <v>3475</v>
      </c>
      <c r="N462" s="96"/>
      <c r="O462" s="99">
        <v>202201156</v>
      </c>
      <c r="P462" s="169"/>
      <c r="Q462" s="96" t="s">
        <v>146</v>
      </c>
      <c r="R462" s="96" t="s">
        <v>146</v>
      </c>
      <c r="S462" s="99" t="s">
        <v>146</v>
      </c>
      <c r="T462" s="111" t="s">
        <v>43</v>
      </c>
      <c r="U462" s="96" t="s">
        <v>452</v>
      </c>
      <c r="V462" s="119">
        <v>44776</v>
      </c>
      <c r="W462" s="170">
        <v>42</v>
      </c>
      <c r="X462" s="99">
        <v>42</v>
      </c>
      <c r="Y462" s="99" t="s">
        <v>1317</v>
      </c>
      <c r="Z462" s="99" t="s">
        <v>168</v>
      </c>
      <c r="AA462" s="99" t="s">
        <v>169</v>
      </c>
      <c r="AB462" s="96"/>
      <c r="AC462" s="99"/>
      <c r="AD462" s="97">
        <v>44802</v>
      </c>
      <c r="AE462" s="183" t="s">
        <v>4438</v>
      </c>
      <c r="AF462" s="171"/>
      <c r="AG462" s="170">
        <v>26</v>
      </c>
      <c r="AH462" s="144">
        <v>26</v>
      </c>
      <c r="AI462" s="99" t="s">
        <v>258</v>
      </c>
      <c r="AJ462" s="96" t="s">
        <v>155</v>
      </c>
      <c r="AK462" s="99" t="s">
        <v>3476</v>
      </c>
      <c r="AL462" s="97">
        <v>44797</v>
      </c>
      <c r="AM462" s="204">
        <v>243478651</v>
      </c>
      <c r="AN462" s="96" t="s">
        <v>3008</v>
      </c>
      <c r="AO462" s="99">
        <v>202207946</v>
      </c>
      <c r="AP462" s="181">
        <f t="shared" si="210"/>
        <v>732634</v>
      </c>
      <c r="AQ462" s="138"/>
      <c r="AR462" s="138"/>
      <c r="AS462" s="99"/>
      <c r="AT462" s="99"/>
      <c r="AU462" s="138"/>
      <c r="AV462" s="99"/>
      <c r="AW462" s="99"/>
      <c r="AX462" s="138"/>
      <c r="AY462" s="167">
        <f t="shared" si="211"/>
        <v>3.0000005937481553E-3</v>
      </c>
      <c r="AZ462" s="139">
        <f t="shared" si="178"/>
        <v>1</v>
      </c>
      <c r="BA462" s="139">
        <f t="shared" si="212"/>
        <v>1</v>
      </c>
      <c r="BB462" s="132">
        <f>IF(AA462="CONTRATADO",IF(BA462=1,NETWORKDAYS.INTL(E462,AD462,1,[1]FESTIVOS!$B$3:$B$10)-1,AD462-E462))-BD462</f>
        <v>18</v>
      </c>
      <c r="BC462" s="156"/>
      <c r="BD462" s="158"/>
      <c r="BE462" s="159"/>
    </row>
    <row r="463" spans="2:57" ht="43.9" customHeight="1" x14ac:dyDescent="0.25">
      <c r="B463" s="100">
        <f t="shared" si="175"/>
        <v>445</v>
      </c>
      <c r="C463" s="110" t="s">
        <v>2904</v>
      </c>
      <c r="D463" s="99" t="s">
        <v>2139</v>
      </c>
      <c r="E463" s="189">
        <v>44776</v>
      </c>
      <c r="F463" s="268" t="s">
        <v>4438</v>
      </c>
      <c r="G463" s="96" t="s">
        <v>2905</v>
      </c>
      <c r="H463" s="96" t="s">
        <v>2906</v>
      </c>
      <c r="I463" s="96" t="s">
        <v>146</v>
      </c>
      <c r="J463" s="96" t="s">
        <v>2907</v>
      </c>
      <c r="K463" s="344">
        <v>400000000</v>
      </c>
      <c r="L463" s="96" t="s">
        <v>3025</v>
      </c>
      <c r="M463" s="96" t="s">
        <v>2908</v>
      </c>
      <c r="N463" s="96"/>
      <c r="O463" s="99">
        <v>202205566</v>
      </c>
      <c r="P463" s="185"/>
      <c r="Q463" s="96" t="s">
        <v>146</v>
      </c>
      <c r="R463" s="96" t="s">
        <v>146</v>
      </c>
      <c r="S463" s="99" t="s">
        <v>146</v>
      </c>
      <c r="T463" s="111" t="s">
        <v>43</v>
      </c>
      <c r="U463" s="96" t="s">
        <v>777</v>
      </c>
      <c r="V463" s="196">
        <v>44778</v>
      </c>
      <c r="W463" s="186" t="e">
        <f>+$D$4-E463</f>
        <v>#VALUE!</v>
      </c>
      <c r="X463" s="99" t="e">
        <f>$D$4-V463</f>
        <v>#VALUE!</v>
      </c>
      <c r="Y463" s="99" t="s">
        <v>1317</v>
      </c>
      <c r="Z463" s="99" t="s">
        <v>168</v>
      </c>
      <c r="AA463" s="99" t="s">
        <v>169</v>
      </c>
      <c r="AB463" s="96"/>
      <c r="AC463" s="99"/>
      <c r="AD463" s="97">
        <v>44823</v>
      </c>
      <c r="AE463" s="183" t="s">
        <v>4262</v>
      </c>
      <c r="AF463" s="183"/>
      <c r="AG463" s="186">
        <f>+AD463-E463</f>
        <v>47</v>
      </c>
      <c r="AH463" s="187">
        <f>+AD463-V463</f>
        <v>45</v>
      </c>
      <c r="AI463" s="99" t="s">
        <v>258</v>
      </c>
      <c r="AJ463" s="96" t="s">
        <v>171</v>
      </c>
      <c r="AK463" s="99" t="s">
        <v>3781</v>
      </c>
      <c r="AL463" s="97">
        <v>44813</v>
      </c>
      <c r="AM463" s="204">
        <v>400000000</v>
      </c>
      <c r="AN463" s="96" t="s">
        <v>3782</v>
      </c>
      <c r="AO463" s="99">
        <v>202208378</v>
      </c>
      <c r="AP463" s="181">
        <f t="shared" si="210"/>
        <v>0</v>
      </c>
      <c r="AQ463" s="193"/>
      <c r="AR463" s="193"/>
      <c r="AS463" s="99"/>
      <c r="AT463" s="99"/>
      <c r="AU463" s="193"/>
      <c r="AV463" s="99" t="s">
        <v>174</v>
      </c>
      <c r="AW463" s="99" t="s">
        <v>175</v>
      </c>
      <c r="AX463" s="193"/>
      <c r="AY463" s="167">
        <f t="shared" si="211"/>
        <v>0</v>
      </c>
      <c r="AZ463" s="139">
        <f t="shared" si="178"/>
        <v>0</v>
      </c>
      <c r="BA463" s="139">
        <f t="shared" si="212"/>
        <v>1</v>
      </c>
      <c r="BB463" s="132">
        <f>IF(AA463="CONTRATADO",IF(BA463=1,NETWORKDAYS.INTL(E463,AD463,1,[1]FESTIVOS!$B$3:$B$10)-1,AD463-E463))-BD463</f>
        <v>33</v>
      </c>
      <c r="BD463" s="207"/>
      <c r="BE463" s="208"/>
    </row>
    <row r="464" spans="2:57" ht="43.9" customHeight="1" x14ac:dyDescent="0.25">
      <c r="B464" s="100">
        <f t="shared" si="175"/>
        <v>446</v>
      </c>
      <c r="C464" s="110" t="s">
        <v>2909</v>
      </c>
      <c r="D464" s="99" t="s">
        <v>32</v>
      </c>
      <c r="E464" s="189">
        <v>44777</v>
      </c>
      <c r="F464" s="268" t="s">
        <v>4438</v>
      </c>
      <c r="G464" s="96" t="s">
        <v>2910</v>
      </c>
      <c r="H464" s="96" t="s">
        <v>2911</v>
      </c>
      <c r="I464" s="96" t="s">
        <v>146</v>
      </c>
      <c r="J464" s="133" t="s">
        <v>2912</v>
      </c>
      <c r="K464" s="343">
        <v>7380000</v>
      </c>
      <c r="L464" s="96" t="s">
        <v>3030</v>
      </c>
      <c r="M464" s="96" t="s">
        <v>3477</v>
      </c>
      <c r="N464" s="96"/>
      <c r="O464" s="99">
        <v>202205342</v>
      </c>
      <c r="P464" s="168">
        <v>7380000</v>
      </c>
      <c r="Q464" s="96" t="s">
        <v>146</v>
      </c>
      <c r="R464" s="96" t="s">
        <v>146</v>
      </c>
      <c r="S464" s="99" t="s">
        <v>146</v>
      </c>
      <c r="T464" s="111" t="s">
        <v>43</v>
      </c>
      <c r="U464" s="96" t="s">
        <v>2889</v>
      </c>
      <c r="V464" s="112">
        <v>44778</v>
      </c>
      <c r="W464" s="170">
        <v>41</v>
      </c>
      <c r="X464" s="99">
        <v>40</v>
      </c>
      <c r="Y464" s="99" t="s">
        <v>1317</v>
      </c>
      <c r="Z464" s="99" t="s">
        <v>168</v>
      </c>
      <c r="AA464" s="99" t="s">
        <v>169</v>
      </c>
      <c r="AB464" s="96"/>
      <c r="AC464" s="99"/>
      <c r="AD464" s="97">
        <v>44799</v>
      </c>
      <c r="AE464" s="183" t="s">
        <v>4438</v>
      </c>
      <c r="AF464" s="171"/>
      <c r="AG464" s="170">
        <v>22</v>
      </c>
      <c r="AH464" s="144">
        <v>21</v>
      </c>
      <c r="AI464" s="99" t="s">
        <v>258</v>
      </c>
      <c r="AJ464" s="96" t="s">
        <v>171</v>
      </c>
      <c r="AK464" s="99" t="s">
        <v>3478</v>
      </c>
      <c r="AL464" s="97">
        <v>44796</v>
      </c>
      <c r="AM464" s="204">
        <v>7380000</v>
      </c>
      <c r="AN464" s="96" t="s">
        <v>3479</v>
      </c>
      <c r="AO464" s="99">
        <v>202207891</v>
      </c>
      <c r="AP464" s="181">
        <f t="shared" si="210"/>
        <v>0</v>
      </c>
      <c r="AQ464" s="138"/>
      <c r="AR464" s="138"/>
      <c r="AS464" s="99"/>
      <c r="AT464" s="99"/>
      <c r="AU464" s="138"/>
      <c r="AV464" s="99" t="s">
        <v>174</v>
      </c>
      <c r="AW464" s="99" t="s">
        <v>175</v>
      </c>
      <c r="AX464" s="138"/>
      <c r="AY464" s="167">
        <f t="shared" si="211"/>
        <v>0</v>
      </c>
      <c r="AZ464" s="139">
        <f t="shared" si="178"/>
        <v>1</v>
      </c>
      <c r="BA464" s="139">
        <f t="shared" si="212"/>
        <v>1</v>
      </c>
      <c r="BB464" s="132">
        <f>IF(AA464="CONTRATADO",IF(BA464=1,NETWORKDAYS.INTL(E464,AD464,1,[1]FESTIVOS!$B$3:$B$10)-1,AD464-E464))-BD464</f>
        <v>16</v>
      </c>
      <c r="BC464" s="156"/>
      <c r="BD464" s="158"/>
      <c r="BE464" s="159"/>
    </row>
    <row r="465" spans="2:57" ht="43.9" customHeight="1" x14ac:dyDescent="0.25">
      <c r="B465" s="100">
        <f t="shared" si="175"/>
        <v>447</v>
      </c>
      <c r="C465" s="293" t="s">
        <v>2913</v>
      </c>
      <c r="D465" s="312" t="s">
        <v>32</v>
      </c>
      <c r="E465" s="258">
        <v>44777</v>
      </c>
      <c r="F465" s="268" t="s">
        <v>4438</v>
      </c>
      <c r="G465" s="269" t="s">
        <v>2914</v>
      </c>
      <c r="H465" s="265" t="s">
        <v>2915</v>
      </c>
      <c r="I465" s="265" t="s">
        <v>146</v>
      </c>
      <c r="J465" s="269" t="s">
        <v>2916</v>
      </c>
      <c r="K465" s="342">
        <v>449226785</v>
      </c>
      <c r="L465" s="282"/>
      <c r="M465" s="265" t="s">
        <v>3532</v>
      </c>
      <c r="N465" s="302" t="str">
        <f>MID(M465,5,3)</f>
        <v>IP-</v>
      </c>
      <c r="O465" s="265">
        <v>202205366</v>
      </c>
      <c r="P465" s="271">
        <v>449226785</v>
      </c>
      <c r="Q465" s="265" t="s">
        <v>146</v>
      </c>
      <c r="R465" s="265" t="s">
        <v>146</v>
      </c>
      <c r="S465" s="265" t="s">
        <v>146</v>
      </c>
      <c r="T465" s="111" t="s">
        <v>43</v>
      </c>
      <c r="U465" s="269" t="s">
        <v>452</v>
      </c>
      <c r="V465" s="286">
        <v>44778</v>
      </c>
      <c r="W465" s="303" t="e">
        <f t="shared" ref="W465:W477" si="213">+$D$4-E465</f>
        <v>#VALUE!</v>
      </c>
      <c r="X465" s="303" t="e">
        <f t="shared" ref="X465:X477" si="214">$D$4-V465</f>
        <v>#VALUE!</v>
      </c>
      <c r="Y465" s="265" t="s">
        <v>1300</v>
      </c>
      <c r="Z465" s="265" t="s">
        <v>152</v>
      </c>
      <c r="AA465" s="265" t="s">
        <v>153</v>
      </c>
      <c r="AB465" s="265"/>
      <c r="AC465" s="304"/>
      <c r="AD465" s="272">
        <v>44827</v>
      </c>
      <c r="AE465" s="265"/>
      <c r="AF465" s="305" t="str">
        <f>+IF(AD465="","",TEXT(AD465,"mmm"))</f>
        <v>sep</v>
      </c>
      <c r="AG465" s="306">
        <f t="shared" ref="AG465:AG477" si="215">+AD465-E465</f>
        <v>50</v>
      </c>
      <c r="AH465" s="307">
        <f t="shared" ref="AH465:AH477" si="216">+AD465-V465</f>
        <v>49</v>
      </c>
      <c r="AI465" s="265"/>
      <c r="AJ465" s="265" t="s">
        <v>155</v>
      </c>
      <c r="AK465" s="265"/>
      <c r="AL465" s="265"/>
      <c r="AM465" s="265"/>
      <c r="AN465" s="309"/>
      <c r="AO465" s="269"/>
      <c r="AP465" s="265"/>
      <c r="AQ465" s="309"/>
      <c r="AR465" s="289"/>
      <c r="AS465" s="269"/>
      <c r="AT465" s="265"/>
      <c r="AU465" s="260"/>
      <c r="AV465" s="260"/>
      <c r="AW465" s="200"/>
      <c r="AX465" s="200"/>
      <c r="AY465" s="200"/>
      <c r="AZ465" s="139">
        <f t="shared" si="178"/>
        <v>1</v>
      </c>
      <c r="BA465" s="200"/>
      <c r="BB465" s="200"/>
      <c r="BC465" s="3"/>
      <c r="BD465" s="95"/>
      <c r="BE465" s="2"/>
    </row>
    <row r="466" spans="2:57" ht="43.9" customHeight="1" x14ac:dyDescent="0.25">
      <c r="B466" s="100">
        <f t="shared" si="175"/>
        <v>448</v>
      </c>
      <c r="C466" s="293" t="s">
        <v>2917</v>
      </c>
      <c r="D466" s="312" t="s">
        <v>32</v>
      </c>
      <c r="E466" s="258">
        <v>44777</v>
      </c>
      <c r="F466" s="268" t="s">
        <v>4438</v>
      </c>
      <c r="G466" s="269" t="s">
        <v>2918</v>
      </c>
      <c r="H466" s="265" t="s">
        <v>2919</v>
      </c>
      <c r="I466" s="265" t="s">
        <v>146</v>
      </c>
      <c r="J466" s="269" t="s">
        <v>2920</v>
      </c>
      <c r="K466" s="342">
        <v>161640675</v>
      </c>
      <c r="L466" s="282"/>
      <c r="M466" s="265" t="s">
        <v>3924</v>
      </c>
      <c r="N466" s="302" t="str">
        <f>MID(M466,5,3)</f>
        <v>IPU</v>
      </c>
      <c r="O466" s="265">
        <v>202205359</v>
      </c>
      <c r="P466" s="271"/>
      <c r="Q466" s="265" t="s">
        <v>146</v>
      </c>
      <c r="R466" s="265" t="s">
        <v>146</v>
      </c>
      <c r="S466" s="265" t="s">
        <v>146</v>
      </c>
      <c r="T466" s="111" t="s">
        <v>40</v>
      </c>
      <c r="U466" s="269" t="s">
        <v>1904</v>
      </c>
      <c r="V466" s="286">
        <v>44778</v>
      </c>
      <c r="W466" s="303" t="e">
        <f t="shared" si="213"/>
        <v>#VALUE!</v>
      </c>
      <c r="X466" s="303" t="e">
        <f t="shared" si="214"/>
        <v>#VALUE!</v>
      </c>
      <c r="Y466" s="265" t="s">
        <v>1300</v>
      </c>
      <c r="Z466" s="265" t="s">
        <v>214</v>
      </c>
      <c r="AA466" s="265" t="s">
        <v>215</v>
      </c>
      <c r="AB466" s="265"/>
      <c r="AC466" s="304"/>
      <c r="AD466" s="272">
        <v>44802</v>
      </c>
      <c r="AE466" s="265"/>
      <c r="AF466" s="305" t="str">
        <f>+IF(AD466="","",TEXT(AD466,"mmm"))</f>
        <v>ago</v>
      </c>
      <c r="AG466" s="306">
        <f t="shared" si="215"/>
        <v>25</v>
      </c>
      <c r="AH466" s="307">
        <f t="shared" si="216"/>
        <v>24</v>
      </c>
      <c r="AI466" s="265"/>
      <c r="AJ466" s="265" t="s">
        <v>155</v>
      </c>
      <c r="AK466" s="265"/>
      <c r="AL466" s="265"/>
      <c r="AM466" s="309"/>
      <c r="AN466" s="269"/>
      <c r="AO466" s="265"/>
      <c r="AP466" s="309"/>
      <c r="AQ466" s="289"/>
      <c r="AR466" s="269"/>
      <c r="AS466" s="265"/>
      <c r="AT466" s="260"/>
      <c r="AU466" s="260"/>
      <c r="AV466" s="200"/>
      <c r="AW466" s="200"/>
      <c r="AX466" s="200"/>
      <c r="AY466" s="200"/>
      <c r="AZ466" s="139">
        <f t="shared" si="178"/>
        <v>1</v>
      </c>
      <c r="BA466" s="200"/>
      <c r="BB466" s="203"/>
      <c r="BC466" s="95"/>
      <c r="BD466" s="2"/>
      <c r="BE466" s="2"/>
    </row>
    <row r="467" spans="2:57" ht="43.9" customHeight="1" x14ac:dyDescent="0.25">
      <c r="B467" s="100">
        <f t="shared" si="175"/>
        <v>449</v>
      </c>
      <c r="C467" s="110" t="s">
        <v>2921</v>
      </c>
      <c r="D467" s="99" t="s">
        <v>32</v>
      </c>
      <c r="E467" s="189">
        <v>44777</v>
      </c>
      <c r="F467" s="268" t="s">
        <v>4438</v>
      </c>
      <c r="G467" s="96" t="s">
        <v>2922</v>
      </c>
      <c r="H467" s="96" t="s">
        <v>2923</v>
      </c>
      <c r="I467" s="96" t="s">
        <v>146</v>
      </c>
      <c r="J467" s="133" t="s">
        <v>2924</v>
      </c>
      <c r="K467" s="344">
        <v>326844210</v>
      </c>
      <c r="L467" s="96" t="s">
        <v>3030</v>
      </c>
      <c r="M467" s="96" t="s">
        <v>3881</v>
      </c>
      <c r="N467" s="96"/>
      <c r="O467" s="99">
        <v>202205358</v>
      </c>
      <c r="P467" s="190">
        <v>326844210</v>
      </c>
      <c r="Q467" s="96" t="s">
        <v>146</v>
      </c>
      <c r="R467" s="96" t="s">
        <v>146</v>
      </c>
      <c r="S467" s="99" t="s">
        <v>146</v>
      </c>
      <c r="T467" s="111" t="s">
        <v>43</v>
      </c>
      <c r="U467" s="96" t="s">
        <v>1904</v>
      </c>
      <c r="V467" s="196">
        <v>44778</v>
      </c>
      <c r="W467" s="186" t="e">
        <f t="shared" si="213"/>
        <v>#VALUE!</v>
      </c>
      <c r="X467" s="99" t="e">
        <f t="shared" si="214"/>
        <v>#VALUE!</v>
      </c>
      <c r="Y467" s="194" t="s">
        <v>1317</v>
      </c>
      <c r="Z467" s="99" t="s">
        <v>168</v>
      </c>
      <c r="AA467" s="99" t="s">
        <v>169</v>
      </c>
      <c r="AB467" s="96"/>
      <c r="AC467" s="194"/>
      <c r="AD467" s="199">
        <v>44825</v>
      </c>
      <c r="AE467" s="183" t="s">
        <v>4262</v>
      </c>
      <c r="AF467" s="183"/>
      <c r="AG467" s="186">
        <f t="shared" si="215"/>
        <v>48</v>
      </c>
      <c r="AH467" s="187">
        <f t="shared" si="216"/>
        <v>47</v>
      </c>
      <c r="AI467" s="194" t="s">
        <v>258</v>
      </c>
      <c r="AJ467" s="96" t="s">
        <v>155</v>
      </c>
      <c r="AK467" s="194" t="s">
        <v>3783</v>
      </c>
      <c r="AL467" s="199">
        <v>44819</v>
      </c>
      <c r="AM467" s="204">
        <v>326844210</v>
      </c>
      <c r="AN467" s="188" t="s">
        <v>3784</v>
      </c>
      <c r="AO467" s="194"/>
      <c r="AP467" s="181">
        <f t="shared" ref="AP467" si="217">+K467-AM467</f>
        <v>0</v>
      </c>
      <c r="AQ467" s="193"/>
      <c r="AR467" s="193"/>
      <c r="AS467" s="194"/>
      <c r="AT467" s="194"/>
      <c r="AU467" s="193"/>
      <c r="AV467" s="194" t="s">
        <v>1000</v>
      </c>
      <c r="AW467" s="194" t="s">
        <v>692</v>
      </c>
      <c r="AX467" s="193"/>
      <c r="AY467" s="167">
        <f>+AP467/K467</f>
        <v>0</v>
      </c>
      <c r="AZ467" s="139">
        <f t="shared" si="178"/>
        <v>1</v>
      </c>
      <c r="BA467" s="139">
        <f>IF(T467="Invitación Privada",1,IF(T467="Invitación Pública",2,0))</f>
        <v>1</v>
      </c>
      <c r="BB467" s="132">
        <f>IF(AA467="CONTRATADO",IF(BA467=1,NETWORKDAYS.INTL(E467,AD467,1,[1]FESTIVOS!$B$3:$B$10)-1,AD467-E467))-BD467</f>
        <v>34</v>
      </c>
      <c r="BD467" s="207"/>
      <c r="BE467" s="208"/>
    </row>
    <row r="468" spans="2:57" ht="43.9" customHeight="1" x14ac:dyDescent="0.25">
      <c r="B468" s="100">
        <f t="shared" ref="B468:B531" si="218">+B467+1</f>
        <v>450</v>
      </c>
      <c r="C468" s="293" t="s">
        <v>2925</v>
      </c>
      <c r="D468" s="312" t="s">
        <v>32</v>
      </c>
      <c r="E468" s="258">
        <v>44777</v>
      </c>
      <c r="F468" s="268" t="s">
        <v>4438</v>
      </c>
      <c r="G468" s="269" t="s">
        <v>2926</v>
      </c>
      <c r="H468" s="265" t="s">
        <v>2927</v>
      </c>
      <c r="I468" s="265" t="s">
        <v>146</v>
      </c>
      <c r="J468" s="269" t="s">
        <v>2928</v>
      </c>
      <c r="K468" s="342">
        <v>1137561579</v>
      </c>
      <c r="L468" s="282"/>
      <c r="M468" s="265" t="s">
        <v>3560</v>
      </c>
      <c r="N468" s="302" t="str">
        <f>MID(M468,5,3)</f>
        <v>IPU</v>
      </c>
      <c r="O468" s="265">
        <v>202205357</v>
      </c>
      <c r="P468" s="271">
        <v>1137561579</v>
      </c>
      <c r="Q468" s="265" t="s">
        <v>146</v>
      </c>
      <c r="R468" s="265" t="s">
        <v>146</v>
      </c>
      <c r="S468" s="265" t="s">
        <v>146</v>
      </c>
      <c r="T468" s="111" t="s">
        <v>40</v>
      </c>
      <c r="U468" s="269" t="s">
        <v>452</v>
      </c>
      <c r="V468" s="272">
        <v>44778</v>
      </c>
      <c r="W468" s="303" t="e">
        <f t="shared" si="213"/>
        <v>#VALUE!</v>
      </c>
      <c r="X468" s="303" t="e">
        <f t="shared" si="214"/>
        <v>#VALUE!</v>
      </c>
      <c r="Y468" s="265"/>
      <c r="Z468" s="265" t="s">
        <v>152</v>
      </c>
      <c r="AA468" s="265" t="s">
        <v>153</v>
      </c>
      <c r="AB468" s="272">
        <v>44904</v>
      </c>
      <c r="AC468" s="304" t="s">
        <v>3561</v>
      </c>
      <c r="AD468" s="272">
        <v>44909</v>
      </c>
      <c r="AE468" s="265"/>
      <c r="AF468" s="305" t="str">
        <f>+IF(AD468="","",TEXT(AD468,"mmm"))</f>
        <v>dic</v>
      </c>
      <c r="AG468" s="306">
        <f t="shared" si="215"/>
        <v>132</v>
      </c>
      <c r="AH468" s="307">
        <f t="shared" si="216"/>
        <v>131</v>
      </c>
      <c r="AI468" s="265"/>
      <c r="AJ468" s="265" t="s">
        <v>155</v>
      </c>
      <c r="AK468" s="265"/>
      <c r="AL468" s="265"/>
      <c r="AM468" s="265"/>
      <c r="AN468" s="309"/>
      <c r="AO468" s="269"/>
      <c r="AP468" s="265"/>
      <c r="AQ468" s="309"/>
      <c r="AR468" s="289"/>
      <c r="AS468" s="269"/>
      <c r="AT468" s="265"/>
      <c r="AU468" s="260"/>
      <c r="AV468" s="260"/>
      <c r="AW468" s="200"/>
      <c r="AX468" s="200"/>
      <c r="AY468" s="200"/>
      <c r="AZ468" s="139">
        <f t="shared" si="178"/>
        <v>1</v>
      </c>
      <c r="BA468" s="200"/>
      <c r="BB468" s="200"/>
      <c r="BC468" s="3"/>
      <c r="BD468" s="95"/>
      <c r="BE468" s="2"/>
    </row>
    <row r="469" spans="2:57" ht="43.9" customHeight="1" x14ac:dyDescent="0.25">
      <c r="B469" s="100">
        <f t="shared" si="218"/>
        <v>451</v>
      </c>
      <c r="C469" s="110" t="s">
        <v>2929</v>
      </c>
      <c r="D469" s="99" t="s">
        <v>28</v>
      </c>
      <c r="E469" s="189">
        <v>44777</v>
      </c>
      <c r="F469" s="268" t="s">
        <v>4438</v>
      </c>
      <c r="G469" s="201" t="s">
        <v>255</v>
      </c>
      <c r="H469" s="188" t="s">
        <v>1649</v>
      </c>
      <c r="I469" s="96" t="s">
        <v>146</v>
      </c>
      <c r="J469" s="188" t="s">
        <v>1650</v>
      </c>
      <c r="K469" s="351">
        <v>97403342</v>
      </c>
      <c r="L469" s="188" t="s">
        <v>3020</v>
      </c>
      <c r="M469" s="99" t="s">
        <v>3785</v>
      </c>
      <c r="N469" s="99"/>
      <c r="O469" s="194">
        <v>202203123</v>
      </c>
      <c r="P469" s="185"/>
      <c r="Q469" s="96" t="s">
        <v>146</v>
      </c>
      <c r="R469" s="96" t="s">
        <v>146</v>
      </c>
      <c r="S469" s="99" t="s">
        <v>146</v>
      </c>
      <c r="T469" s="111" t="s">
        <v>43</v>
      </c>
      <c r="U469" s="96" t="s">
        <v>277</v>
      </c>
      <c r="V469" s="199">
        <v>44777</v>
      </c>
      <c r="W469" s="186" t="e">
        <f t="shared" si="213"/>
        <v>#VALUE!</v>
      </c>
      <c r="X469" s="99" t="e">
        <f t="shared" si="214"/>
        <v>#VALUE!</v>
      </c>
      <c r="Y469" s="194" t="s">
        <v>1317</v>
      </c>
      <c r="Z469" s="99" t="s">
        <v>168</v>
      </c>
      <c r="AA469" s="99" t="s">
        <v>169</v>
      </c>
      <c r="AB469" s="188"/>
      <c r="AC469" s="194"/>
      <c r="AD469" s="199">
        <v>44825</v>
      </c>
      <c r="AE469" s="183" t="s">
        <v>4262</v>
      </c>
      <c r="AF469" s="183"/>
      <c r="AG469" s="186">
        <f t="shared" si="215"/>
        <v>48</v>
      </c>
      <c r="AH469" s="187">
        <f t="shared" si="216"/>
        <v>48</v>
      </c>
      <c r="AI469" s="194" t="s">
        <v>258</v>
      </c>
      <c r="AJ469" s="188" t="s">
        <v>155</v>
      </c>
      <c r="AK469" s="194" t="s">
        <v>3786</v>
      </c>
      <c r="AL469" s="199">
        <v>44809</v>
      </c>
      <c r="AM469" s="204">
        <v>97196142</v>
      </c>
      <c r="AN469" s="188" t="s">
        <v>3787</v>
      </c>
      <c r="AO469" s="194">
        <v>202208385</v>
      </c>
      <c r="AP469" s="181">
        <f t="shared" ref="AP469:AP476" si="219">+K469-AM469</f>
        <v>207200</v>
      </c>
      <c r="AQ469" s="193"/>
      <c r="AR469" s="193"/>
      <c r="AS469" s="194"/>
      <c r="AT469" s="194"/>
      <c r="AU469" s="193"/>
      <c r="AV469" s="194"/>
      <c r="AW469" s="194"/>
      <c r="AX469" s="193"/>
      <c r="AY469" s="167">
        <f t="shared" ref="AY469:AY476" si="220">+AP469/K469</f>
        <v>2.1272370715986317E-3</v>
      </c>
      <c r="AZ469" s="139">
        <f t="shared" si="178"/>
        <v>1</v>
      </c>
      <c r="BA469" s="139">
        <f t="shared" ref="BA469:BA476" si="221">IF(T469="Invitación Privada",1,IF(T469="Invitación Pública",2,0))</f>
        <v>1</v>
      </c>
      <c r="BB469" s="132">
        <f>IF(AA469="CONTRATADO",IF(BA469=1,NETWORKDAYS.INTL(E469,AD469,1,[1]FESTIVOS!$B$3:$B$10)-1,AD469-E469))-BD469</f>
        <v>23</v>
      </c>
      <c r="BD469" s="207">
        <f>4+7</f>
        <v>11</v>
      </c>
      <c r="BE469" s="208" t="s">
        <v>3892</v>
      </c>
    </row>
    <row r="470" spans="2:57" ht="43.9" customHeight="1" x14ac:dyDescent="0.25">
      <c r="B470" s="100">
        <f t="shared" si="218"/>
        <v>452</v>
      </c>
      <c r="C470" s="110" t="s">
        <v>2930</v>
      </c>
      <c r="D470" s="99" t="s">
        <v>332</v>
      </c>
      <c r="E470" s="189">
        <v>44781</v>
      </c>
      <c r="F470" s="268" t="s">
        <v>4438</v>
      </c>
      <c r="G470" s="201" t="s">
        <v>255</v>
      </c>
      <c r="H470" s="188" t="s">
        <v>2931</v>
      </c>
      <c r="I470" s="96" t="s">
        <v>146</v>
      </c>
      <c r="J470" s="213" t="s">
        <v>1698</v>
      </c>
      <c r="K470" s="351">
        <v>197470000</v>
      </c>
      <c r="L470" s="188" t="s">
        <v>3025</v>
      </c>
      <c r="M470" s="96" t="s">
        <v>3788</v>
      </c>
      <c r="N470" s="96"/>
      <c r="O470" s="194">
        <v>202202364</v>
      </c>
      <c r="P470" s="198">
        <v>197470000</v>
      </c>
      <c r="Q470" s="96" t="s">
        <v>146</v>
      </c>
      <c r="R470" s="96" t="s">
        <v>146</v>
      </c>
      <c r="S470" s="99" t="s">
        <v>146</v>
      </c>
      <c r="T470" s="111" t="s">
        <v>43</v>
      </c>
      <c r="U470" s="96" t="s">
        <v>337</v>
      </c>
      <c r="V470" s="199">
        <v>44781</v>
      </c>
      <c r="W470" s="186" t="e">
        <f t="shared" si="213"/>
        <v>#VALUE!</v>
      </c>
      <c r="X470" s="99" t="e">
        <f t="shared" si="214"/>
        <v>#VALUE!</v>
      </c>
      <c r="Y470" s="194" t="s">
        <v>1317</v>
      </c>
      <c r="Z470" s="99" t="s">
        <v>168</v>
      </c>
      <c r="AA470" s="99" t="s">
        <v>169</v>
      </c>
      <c r="AB470" s="188"/>
      <c r="AC470" s="194"/>
      <c r="AD470" s="199">
        <v>44816</v>
      </c>
      <c r="AE470" s="183" t="s">
        <v>4262</v>
      </c>
      <c r="AF470" s="183"/>
      <c r="AG470" s="186">
        <f t="shared" si="215"/>
        <v>35</v>
      </c>
      <c r="AH470" s="187">
        <f t="shared" si="216"/>
        <v>35</v>
      </c>
      <c r="AI470" s="194" t="s">
        <v>258</v>
      </c>
      <c r="AJ470" s="188" t="s">
        <v>171</v>
      </c>
      <c r="AK470" s="194" t="s">
        <v>3789</v>
      </c>
      <c r="AL470" s="199">
        <v>44804</v>
      </c>
      <c r="AM470" s="204">
        <v>172639000</v>
      </c>
      <c r="AN470" s="188" t="s">
        <v>3790</v>
      </c>
      <c r="AO470" s="194">
        <v>202208351</v>
      </c>
      <c r="AP470" s="181">
        <f t="shared" si="219"/>
        <v>24831000</v>
      </c>
      <c r="AQ470" s="193"/>
      <c r="AR470" s="193"/>
      <c r="AS470" s="194"/>
      <c r="AT470" s="194"/>
      <c r="AU470" s="193"/>
      <c r="AV470" s="194" t="s">
        <v>174</v>
      </c>
      <c r="AW470" s="194" t="s">
        <v>175</v>
      </c>
      <c r="AX470" s="193"/>
      <c r="AY470" s="167">
        <f t="shared" si="220"/>
        <v>0.12574568288854004</v>
      </c>
      <c r="AZ470" s="139">
        <f t="shared" ref="AZ470:AZ533" si="222">IF(D470="GUENAA",1,IF(D470="GUENE",1,IF(D470="GUENT",1,0)))</f>
        <v>0</v>
      </c>
      <c r="BA470" s="139">
        <f t="shared" si="221"/>
        <v>1</v>
      </c>
      <c r="BB470" s="132">
        <f>IF(AA470="CONTRATADO",IF(BA470=1,NETWORKDAYS.INTL(E470,AD470,1,[1]FESTIVOS!$B$3:$B$10)-1,AD470-E470))-BD470</f>
        <v>25</v>
      </c>
      <c r="BD470" s="207"/>
      <c r="BE470" s="208"/>
    </row>
    <row r="471" spans="2:57" ht="43.9" customHeight="1" x14ac:dyDescent="0.25">
      <c r="B471" s="100">
        <f t="shared" si="218"/>
        <v>453</v>
      </c>
      <c r="C471" s="110" t="s">
        <v>2932</v>
      </c>
      <c r="D471" s="99" t="s">
        <v>28</v>
      </c>
      <c r="E471" s="189">
        <v>44781</v>
      </c>
      <c r="F471" s="268" t="s">
        <v>4438</v>
      </c>
      <c r="G471" s="188" t="s">
        <v>2933</v>
      </c>
      <c r="H471" s="188" t="s">
        <v>2934</v>
      </c>
      <c r="I471" s="188" t="s">
        <v>1224</v>
      </c>
      <c r="J471" s="213" t="s">
        <v>2935</v>
      </c>
      <c r="K471" s="351">
        <v>168056255</v>
      </c>
      <c r="L471" s="188" t="s">
        <v>2359</v>
      </c>
      <c r="M471" s="188" t="s">
        <v>146</v>
      </c>
      <c r="N471" s="188"/>
      <c r="O471" s="194" t="s">
        <v>2936</v>
      </c>
      <c r="P471" s="185"/>
      <c r="Q471" s="96" t="s">
        <v>146</v>
      </c>
      <c r="R471" s="96" t="s">
        <v>146</v>
      </c>
      <c r="S471" s="99" t="s">
        <v>146</v>
      </c>
      <c r="T471" s="96" t="s">
        <v>230</v>
      </c>
      <c r="U471" s="96" t="s">
        <v>29</v>
      </c>
      <c r="V471" s="199">
        <v>44781</v>
      </c>
      <c r="W471" s="186" t="e">
        <f t="shared" si="213"/>
        <v>#VALUE!</v>
      </c>
      <c r="X471" s="99" t="e">
        <f t="shared" si="214"/>
        <v>#VALUE!</v>
      </c>
      <c r="Y471" s="194" t="s">
        <v>1317</v>
      </c>
      <c r="Z471" s="99" t="s">
        <v>168</v>
      </c>
      <c r="AA471" s="99" t="s">
        <v>169</v>
      </c>
      <c r="AB471" s="194"/>
      <c r="AC471" s="194"/>
      <c r="AD471" s="199">
        <v>44809</v>
      </c>
      <c r="AE471" s="183" t="s">
        <v>4262</v>
      </c>
      <c r="AF471" s="183"/>
      <c r="AG471" s="186">
        <f t="shared" si="215"/>
        <v>28</v>
      </c>
      <c r="AH471" s="187">
        <f t="shared" si="216"/>
        <v>28</v>
      </c>
      <c r="AI471" s="194" t="s">
        <v>146</v>
      </c>
      <c r="AJ471" s="188" t="s">
        <v>171</v>
      </c>
      <c r="AK471" s="188" t="s">
        <v>3791</v>
      </c>
      <c r="AL471" s="199">
        <v>44798</v>
      </c>
      <c r="AM471" s="204">
        <f>113396777+53712416</f>
        <v>167109193</v>
      </c>
      <c r="AN471" s="188" t="s">
        <v>2324</v>
      </c>
      <c r="AO471" s="194">
        <v>202207954</v>
      </c>
      <c r="AP471" s="181">
        <f t="shared" si="219"/>
        <v>947062</v>
      </c>
      <c r="AQ471" s="193"/>
      <c r="AR471" s="193"/>
      <c r="AS471" s="194"/>
      <c r="AT471" s="194"/>
      <c r="AU471" s="193"/>
      <c r="AV471" s="194"/>
      <c r="AW471" s="194"/>
      <c r="AX471" s="193"/>
      <c r="AY471" s="167">
        <f t="shared" si="220"/>
        <v>5.6353867935471967E-3</v>
      </c>
      <c r="AZ471" s="139">
        <f t="shared" si="222"/>
        <v>1</v>
      </c>
      <c r="BA471" s="139">
        <f t="shared" si="221"/>
        <v>0</v>
      </c>
      <c r="BB471" s="132">
        <f>IF(AA471="CONTRATADO",IF(BA471=1,NETWORKDAYS.INTL(E471,AD471,1,[1]FESTIVOS!$B$3:$B$10)-1,AD471-E471))-BD471</f>
        <v>28</v>
      </c>
      <c r="BD471" s="207"/>
      <c r="BE471" s="208"/>
    </row>
    <row r="472" spans="2:57" ht="43.9" customHeight="1" x14ac:dyDescent="0.25">
      <c r="B472" s="100">
        <f t="shared" si="218"/>
        <v>454</v>
      </c>
      <c r="C472" s="110" t="s">
        <v>2937</v>
      </c>
      <c r="D472" s="99" t="s">
        <v>28</v>
      </c>
      <c r="E472" s="189">
        <v>44781</v>
      </c>
      <c r="F472" s="268" t="s">
        <v>4438</v>
      </c>
      <c r="G472" s="188" t="s">
        <v>2938</v>
      </c>
      <c r="H472" s="188" t="s">
        <v>2939</v>
      </c>
      <c r="I472" s="96" t="s">
        <v>146</v>
      </c>
      <c r="J472" s="188" t="s">
        <v>2940</v>
      </c>
      <c r="K472" s="351">
        <v>46084023</v>
      </c>
      <c r="L472" s="188" t="s">
        <v>3030</v>
      </c>
      <c r="M472" s="188" t="s">
        <v>3792</v>
      </c>
      <c r="N472" s="188"/>
      <c r="O472" s="194">
        <v>202204422</v>
      </c>
      <c r="P472" s="198">
        <v>46084023</v>
      </c>
      <c r="Q472" s="96" t="s">
        <v>146</v>
      </c>
      <c r="R472" s="96" t="s">
        <v>146</v>
      </c>
      <c r="S472" s="99" t="s">
        <v>146</v>
      </c>
      <c r="T472" s="111" t="s">
        <v>43</v>
      </c>
      <c r="U472" s="96" t="s">
        <v>2941</v>
      </c>
      <c r="V472" s="199">
        <v>44785</v>
      </c>
      <c r="W472" s="186" t="e">
        <f t="shared" si="213"/>
        <v>#VALUE!</v>
      </c>
      <c r="X472" s="99" t="e">
        <f t="shared" si="214"/>
        <v>#VALUE!</v>
      </c>
      <c r="Y472" s="194" t="s">
        <v>1317</v>
      </c>
      <c r="Z472" s="99" t="s">
        <v>168</v>
      </c>
      <c r="AA472" s="99" t="s">
        <v>169</v>
      </c>
      <c r="AB472" s="188"/>
      <c r="AC472" s="194"/>
      <c r="AD472" s="199">
        <v>44827</v>
      </c>
      <c r="AE472" s="183" t="s">
        <v>4262</v>
      </c>
      <c r="AF472" s="183"/>
      <c r="AG472" s="186">
        <f t="shared" si="215"/>
        <v>46</v>
      </c>
      <c r="AH472" s="187">
        <f t="shared" si="216"/>
        <v>42</v>
      </c>
      <c r="AI472" s="194" t="s">
        <v>258</v>
      </c>
      <c r="AJ472" s="188" t="s">
        <v>155</v>
      </c>
      <c r="AK472" s="194" t="s">
        <v>3793</v>
      </c>
      <c r="AL472" s="199">
        <v>44819</v>
      </c>
      <c r="AM472" s="204">
        <v>45500000</v>
      </c>
      <c r="AN472" s="188" t="s">
        <v>3794</v>
      </c>
      <c r="AO472" s="194">
        <v>202208444</v>
      </c>
      <c r="AP472" s="181">
        <f t="shared" si="219"/>
        <v>584023</v>
      </c>
      <c r="AQ472" s="193"/>
      <c r="AR472" s="193"/>
      <c r="AS472" s="194"/>
      <c r="AT472" s="194"/>
      <c r="AU472" s="193"/>
      <c r="AV472" s="194" t="s">
        <v>174</v>
      </c>
      <c r="AW472" s="194" t="s">
        <v>175</v>
      </c>
      <c r="AX472" s="193"/>
      <c r="AY472" s="167">
        <f t="shared" si="220"/>
        <v>1.2673003830416455E-2</v>
      </c>
      <c r="AZ472" s="139">
        <f t="shared" si="222"/>
        <v>1</v>
      </c>
      <c r="BA472" s="139">
        <f t="shared" si="221"/>
        <v>1</v>
      </c>
      <c r="BB472" s="132">
        <f>IF(AA472="CONTRATADO",IF(BA472=1,NETWORKDAYS.INTL(E472,AD472,1,[1]FESTIVOS!$B$3:$B$10)-1,AD472-E472))-BD472</f>
        <v>34</v>
      </c>
      <c r="BD472" s="207"/>
      <c r="BE472" s="208"/>
    </row>
    <row r="473" spans="2:57" ht="43.9" customHeight="1" x14ac:dyDescent="0.25">
      <c r="B473" s="100">
        <f t="shared" si="218"/>
        <v>455</v>
      </c>
      <c r="C473" s="110" t="s">
        <v>2942</v>
      </c>
      <c r="D473" s="99" t="s">
        <v>28</v>
      </c>
      <c r="E473" s="189">
        <v>44781</v>
      </c>
      <c r="F473" s="268" t="s">
        <v>4438</v>
      </c>
      <c r="G473" s="188" t="s">
        <v>2943</v>
      </c>
      <c r="H473" s="188" t="s">
        <v>2944</v>
      </c>
      <c r="I473" s="96" t="s">
        <v>146</v>
      </c>
      <c r="J473" s="188" t="s">
        <v>2945</v>
      </c>
      <c r="K473" s="351">
        <v>3474800</v>
      </c>
      <c r="L473" s="188" t="s">
        <v>3427</v>
      </c>
      <c r="M473" s="96" t="s">
        <v>3795</v>
      </c>
      <c r="N473" s="96"/>
      <c r="O473" s="194">
        <v>202205486</v>
      </c>
      <c r="P473" s="198">
        <v>3474800</v>
      </c>
      <c r="Q473" s="96" t="s">
        <v>146</v>
      </c>
      <c r="R473" s="96" t="s">
        <v>146</v>
      </c>
      <c r="S473" s="99" t="s">
        <v>146</v>
      </c>
      <c r="T473" s="111" t="s">
        <v>43</v>
      </c>
      <c r="U473" s="96" t="s">
        <v>2941</v>
      </c>
      <c r="V473" s="199">
        <v>44785</v>
      </c>
      <c r="W473" s="186" t="e">
        <f t="shared" si="213"/>
        <v>#VALUE!</v>
      </c>
      <c r="X473" s="99" t="e">
        <f t="shared" si="214"/>
        <v>#VALUE!</v>
      </c>
      <c r="Y473" s="194" t="s">
        <v>1317</v>
      </c>
      <c r="Z473" s="99" t="s">
        <v>168</v>
      </c>
      <c r="AA473" s="99" t="s">
        <v>169</v>
      </c>
      <c r="AB473" s="188"/>
      <c r="AC473" s="194"/>
      <c r="AD473" s="199">
        <v>44830</v>
      </c>
      <c r="AE473" s="183" t="s">
        <v>4262</v>
      </c>
      <c r="AF473" s="183"/>
      <c r="AG473" s="186">
        <f t="shared" si="215"/>
        <v>49</v>
      </c>
      <c r="AH473" s="187">
        <f t="shared" si="216"/>
        <v>45</v>
      </c>
      <c r="AI473" s="194" t="s">
        <v>258</v>
      </c>
      <c r="AJ473" s="188" t="s">
        <v>171</v>
      </c>
      <c r="AK473" s="194" t="s">
        <v>3796</v>
      </c>
      <c r="AL473" s="199">
        <v>44819</v>
      </c>
      <c r="AM473" s="204">
        <v>3474800</v>
      </c>
      <c r="AN473" s="188" t="s">
        <v>3797</v>
      </c>
      <c r="AO473" s="194">
        <v>202208546</v>
      </c>
      <c r="AP473" s="181">
        <f t="shared" si="219"/>
        <v>0</v>
      </c>
      <c r="AQ473" s="193"/>
      <c r="AR473" s="193"/>
      <c r="AS473" s="194"/>
      <c r="AT473" s="194"/>
      <c r="AU473" s="193"/>
      <c r="AV473" s="99" t="s">
        <v>1000</v>
      </c>
      <c r="AW473" s="99" t="s">
        <v>692</v>
      </c>
      <c r="AX473" s="193"/>
      <c r="AY473" s="167">
        <f t="shared" si="220"/>
        <v>0</v>
      </c>
      <c r="AZ473" s="139">
        <f t="shared" si="222"/>
        <v>1</v>
      </c>
      <c r="BA473" s="139">
        <f t="shared" si="221"/>
        <v>1</v>
      </c>
      <c r="BB473" s="132">
        <f>IF(AA473="CONTRATADO",IF(BA473=1,NETWORKDAYS.INTL(E473,AD473,1,[1]FESTIVOS!$B$3:$B$10)-1,AD473-E473))-BD473</f>
        <v>35</v>
      </c>
      <c r="BD473" s="207"/>
      <c r="BE473" s="208"/>
    </row>
    <row r="474" spans="2:57" ht="43.9" customHeight="1" x14ac:dyDescent="0.25">
      <c r="B474" s="100">
        <f t="shared" si="218"/>
        <v>456</v>
      </c>
      <c r="C474" s="110" t="s">
        <v>2946</v>
      </c>
      <c r="D474" s="99" t="s">
        <v>28</v>
      </c>
      <c r="E474" s="189">
        <v>44783</v>
      </c>
      <c r="F474" s="268" t="s">
        <v>4438</v>
      </c>
      <c r="G474" s="188" t="s">
        <v>2947</v>
      </c>
      <c r="H474" s="188" t="s">
        <v>2948</v>
      </c>
      <c r="I474" s="188" t="s">
        <v>1224</v>
      </c>
      <c r="J474" s="213" t="s">
        <v>2949</v>
      </c>
      <c r="K474" s="351">
        <v>1799959803</v>
      </c>
      <c r="L474" s="188" t="s">
        <v>2359</v>
      </c>
      <c r="M474" s="188" t="s">
        <v>146</v>
      </c>
      <c r="N474" s="188"/>
      <c r="O474" s="194" t="s">
        <v>2950</v>
      </c>
      <c r="P474" s="198">
        <v>1799959803</v>
      </c>
      <c r="Q474" s="96" t="s">
        <v>146</v>
      </c>
      <c r="R474" s="96" t="s">
        <v>146</v>
      </c>
      <c r="S474" s="99" t="s">
        <v>146</v>
      </c>
      <c r="T474" s="96" t="s">
        <v>230</v>
      </c>
      <c r="U474" s="96" t="s">
        <v>29</v>
      </c>
      <c r="V474" s="199">
        <v>44783</v>
      </c>
      <c r="W474" s="186" t="e">
        <f t="shared" si="213"/>
        <v>#VALUE!</v>
      </c>
      <c r="X474" s="99" t="e">
        <f t="shared" si="214"/>
        <v>#VALUE!</v>
      </c>
      <c r="Y474" s="194" t="s">
        <v>1755</v>
      </c>
      <c r="Z474" s="99" t="s">
        <v>168</v>
      </c>
      <c r="AA474" s="99" t="s">
        <v>169</v>
      </c>
      <c r="AB474" s="194"/>
      <c r="AC474" s="194"/>
      <c r="AD474" s="199">
        <v>44812</v>
      </c>
      <c r="AE474" s="183" t="s">
        <v>4262</v>
      </c>
      <c r="AF474" s="183"/>
      <c r="AG474" s="186">
        <f t="shared" si="215"/>
        <v>29</v>
      </c>
      <c r="AH474" s="187">
        <f t="shared" si="216"/>
        <v>29</v>
      </c>
      <c r="AI474" s="194" t="s">
        <v>146</v>
      </c>
      <c r="AJ474" s="188" t="s">
        <v>171</v>
      </c>
      <c r="AK474" s="188" t="s">
        <v>3798</v>
      </c>
      <c r="AL474" s="199">
        <v>44819</v>
      </c>
      <c r="AM474" s="204">
        <f>1277861560+505279124</f>
        <v>1783140684</v>
      </c>
      <c r="AN474" s="188" t="s">
        <v>3799</v>
      </c>
      <c r="AO474" s="194">
        <v>202208290</v>
      </c>
      <c r="AP474" s="181">
        <f t="shared" si="219"/>
        <v>16819119</v>
      </c>
      <c r="AQ474" s="193"/>
      <c r="AR474" s="193"/>
      <c r="AS474" s="194"/>
      <c r="AT474" s="194"/>
      <c r="AU474" s="193"/>
      <c r="AV474" s="194" t="s">
        <v>174</v>
      </c>
      <c r="AW474" s="194" t="s">
        <v>175</v>
      </c>
      <c r="AX474" s="193"/>
      <c r="AY474" s="167">
        <f t="shared" si="220"/>
        <v>9.3441636707483743E-3</v>
      </c>
      <c r="AZ474" s="139">
        <f t="shared" si="222"/>
        <v>1</v>
      </c>
      <c r="BA474" s="139">
        <f t="shared" si="221"/>
        <v>0</v>
      </c>
      <c r="BB474" s="132">
        <f>IF(AA474="CONTRATADO",IF(BA474=1,NETWORKDAYS.INTL(E474,AD474,1,[1]FESTIVOS!$B$3:$B$10)-1,AD474-E474))-BD474</f>
        <v>29</v>
      </c>
      <c r="BD474" s="207"/>
      <c r="BE474" s="208"/>
    </row>
    <row r="475" spans="2:57" ht="43.9" customHeight="1" x14ac:dyDescent="0.25">
      <c r="B475" s="100">
        <f t="shared" si="218"/>
        <v>457</v>
      </c>
      <c r="C475" s="110" t="s">
        <v>2951</v>
      </c>
      <c r="D475" s="99" t="s">
        <v>332</v>
      </c>
      <c r="E475" s="189">
        <v>44783</v>
      </c>
      <c r="F475" s="268" t="s">
        <v>4438</v>
      </c>
      <c r="G475" s="188" t="s">
        <v>2952</v>
      </c>
      <c r="H475" s="188" t="s">
        <v>2953</v>
      </c>
      <c r="I475" s="188" t="s">
        <v>465</v>
      </c>
      <c r="J475" s="188" t="s">
        <v>2954</v>
      </c>
      <c r="K475" s="351">
        <v>675958168</v>
      </c>
      <c r="L475" s="194" t="s">
        <v>228</v>
      </c>
      <c r="M475" s="188" t="s">
        <v>146</v>
      </c>
      <c r="N475" s="188"/>
      <c r="O475" s="194">
        <v>202203548</v>
      </c>
      <c r="P475" s="185">
        <v>676000000</v>
      </c>
      <c r="Q475" s="96" t="s">
        <v>146</v>
      </c>
      <c r="R475" s="96" t="s">
        <v>146</v>
      </c>
      <c r="S475" s="99" t="s">
        <v>146</v>
      </c>
      <c r="T475" s="96" t="s">
        <v>230</v>
      </c>
      <c r="U475" s="96" t="s">
        <v>42</v>
      </c>
      <c r="V475" s="199">
        <v>44783</v>
      </c>
      <c r="W475" s="186" t="e">
        <f t="shared" si="213"/>
        <v>#VALUE!</v>
      </c>
      <c r="X475" s="99" t="e">
        <f t="shared" si="214"/>
        <v>#VALUE!</v>
      </c>
      <c r="Y475" s="194" t="s">
        <v>1317</v>
      </c>
      <c r="Z475" s="99" t="s">
        <v>168</v>
      </c>
      <c r="AA475" s="99" t="s">
        <v>169</v>
      </c>
      <c r="AB475" s="194"/>
      <c r="AC475" s="194"/>
      <c r="AD475" s="199">
        <v>44830</v>
      </c>
      <c r="AE475" s="183" t="s">
        <v>4262</v>
      </c>
      <c r="AF475" s="183"/>
      <c r="AG475" s="186">
        <f t="shared" si="215"/>
        <v>47</v>
      </c>
      <c r="AH475" s="187">
        <f t="shared" si="216"/>
        <v>47</v>
      </c>
      <c r="AI475" s="194" t="s">
        <v>146</v>
      </c>
      <c r="AJ475" s="188" t="s">
        <v>171</v>
      </c>
      <c r="AK475" s="188" t="s">
        <v>3800</v>
      </c>
      <c r="AL475" s="199">
        <v>44819</v>
      </c>
      <c r="AM475" s="204">
        <v>643929010</v>
      </c>
      <c r="AN475" s="188" t="s">
        <v>1025</v>
      </c>
      <c r="AO475" s="194">
        <v>202208538</v>
      </c>
      <c r="AP475" s="181">
        <f t="shared" si="219"/>
        <v>32029158</v>
      </c>
      <c r="AQ475" s="193"/>
      <c r="AR475" s="193"/>
      <c r="AS475" s="194"/>
      <c r="AT475" s="194"/>
      <c r="AU475" s="193"/>
      <c r="AV475" s="194" t="s">
        <v>174</v>
      </c>
      <c r="AW475" s="194" t="s">
        <v>175</v>
      </c>
      <c r="AX475" s="193"/>
      <c r="AY475" s="167">
        <f t="shared" si="220"/>
        <v>4.7383343402398241E-2</v>
      </c>
      <c r="AZ475" s="139">
        <f t="shared" si="222"/>
        <v>0</v>
      </c>
      <c r="BA475" s="139">
        <f t="shared" si="221"/>
        <v>0</v>
      </c>
      <c r="BB475" s="132">
        <f>IF(AA475="CONTRATADO",IF(BA475=1,NETWORKDAYS.INTL(E475,AD475,1,[1]FESTIVOS!$B$3:$B$10)-1,AD475-E475))-BD475</f>
        <v>47</v>
      </c>
      <c r="BD475" s="207"/>
      <c r="BE475" s="208"/>
    </row>
    <row r="476" spans="2:57" ht="43.9" customHeight="1" x14ac:dyDescent="0.25">
      <c r="B476" s="100">
        <f t="shared" si="218"/>
        <v>458</v>
      </c>
      <c r="C476" s="110" t="s">
        <v>2955</v>
      </c>
      <c r="D476" s="99" t="s">
        <v>332</v>
      </c>
      <c r="E476" s="189">
        <v>44783</v>
      </c>
      <c r="F476" s="268" t="s">
        <v>4438</v>
      </c>
      <c r="G476" s="188" t="s">
        <v>2956</v>
      </c>
      <c r="H476" s="188" t="s">
        <v>2957</v>
      </c>
      <c r="I476" s="96" t="s">
        <v>146</v>
      </c>
      <c r="J476" s="188" t="s">
        <v>2958</v>
      </c>
      <c r="K476" s="347">
        <v>73187177</v>
      </c>
      <c r="L476" s="194" t="s">
        <v>228</v>
      </c>
      <c r="M476" s="99" t="s">
        <v>3801</v>
      </c>
      <c r="N476" s="99"/>
      <c r="O476" s="194" t="s">
        <v>2959</v>
      </c>
      <c r="P476" s="204">
        <v>73187177</v>
      </c>
      <c r="Q476" s="96" t="s">
        <v>146</v>
      </c>
      <c r="R476" s="96" t="s">
        <v>146</v>
      </c>
      <c r="S476" s="99" t="s">
        <v>146</v>
      </c>
      <c r="T476" s="111" t="s">
        <v>43</v>
      </c>
      <c r="U476" s="96" t="s">
        <v>572</v>
      </c>
      <c r="V476" s="199">
        <v>44785</v>
      </c>
      <c r="W476" s="186" t="e">
        <f t="shared" si="213"/>
        <v>#VALUE!</v>
      </c>
      <c r="X476" s="99" t="e">
        <f t="shared" si="214"/>
        <v>#VALUE!</v>
      </c>
      <c r="Y476" s="194" t="s">
        <v>1317</v>
      </c>
      <c r="Z476" s="99" t="s">
        <v>168</v>
      </c>
      <c r="AA476" s="99" t="s">
        <v>169</v>
      </c>
      <c r="AB476" s="188"/>
      <c r="AC476" s="194"/>
      <c r="AD476" s="199">
        <v>44827</v>
      </c>
      <c r="AE476" s="183" t="s">
        <v>4262</v>
      </c>
      <c r="AF476" s="183"/>
      <c r="AG476" s="186">
        <f t="shared" si="215"/>
        <v>44</v>
      </c>
      <c r="AH476" s="187">
        <f t="shared" si="216"/>
        <v>42</v>
      </c>
      <c r="AI476" s="194" t="s">
        <v>258</v>
      </c>
      <c r="AJ476" s="188" t="s">
        <v>171</v>
      </c>
      <c r="AK476" s="194" t="s">
        <v>3802</v>
      </c>
      <c r="AL476" s="199">
        <v>44819</v>
      </c>
      <c r="AM476" s="204">
        <v>73187177</v>
      </c>
      <c r="AN476" s="188" t="s">
        <v>3698</v>
      </c>
      <c r="AO476" s="194">
        <v>202208575</v>
      </c>
      <c r="AP476" s="181">
        <f t="shared" si="219"/>
        <v>0</v>
      </c>
      <c r="AQ476" s="193"/>
      <c r="AR476" s="193"/>
      <c r="AS476" s="194"/>
      <c r="AT476" s="194"/>
      <c r="AU476" s="193"/>
      <c r="AV476" s="194" t="s">
        <v>174</v>
      </c>
      <c r="AW476" s="194" t="s">
        <v>175</v>
      </c>
      <c r="AX476" s="193"/>
      <c r="AY476" s="167">
        <f t="shared" si="220"/>
        <v>0</v>
      </c>
      <c r="AZ476" s="139">
        <f t="shared" si="222"/>
        <v>0</v>
      </c>
      <c r="BA476" s="139">
        <f t="shared" si="221"/>
        <v>1</v>
      </c>
      <c r="BB476" s="132">
        <f>IF(AA476="CONTRATADO",IF(BA476=1,NETWORKDAYS.INTL(E476,AD476,1,[1]FESTIVOS!$B$3:$B$10)-1,AD476-E476))-BD476</f>
        <v>26</v>
      </c>
      <c r="BD476" s="207">
        <v>6</v>
      </c>
      <c r="BE476" s="208" t="s">
        <v>3897</v>
      </c>
    </row>
    <row r="477" spans="2:57" ht="43.9" customHeight="1" x14ac:dyDescent="0.25">
      <c r="B477" s="100">
        <f t="shared" si="218"/>
        <v>459</v>
      </c>
      <c r="C477" s="293" t="s">
        <v>2960</v>
      </c>
      <c r="D477" s="265" t="s">
        <v>332</v>
      </c>
      <c r="E477" s="258">
        <v>44783</v>
      </c>
      <c r="F477" s="268" t="s">
        <v>4438</v>
      </c>
      <c r="G477" s="269" t="s">
        <v>2961</v>
      </c>
      <c r="H477" s="265" t="s">
        <v>2962</v>
      </c>
      <c r="I477" s="265" t="s">
        <v>146</v>
      </c>
      <c r="J477" s="269" t="s">
        <v>2963</v>
      </c>
      <c r="K477" s="342">
        <v>489808988</v>
      </c>
      <c r="L477" s="270"/>
      <c r="M477" s="265" t="s">
        <v>3929</v>
      </c>
      <c r="N477" s="302" t="str">
        <f>MID(M477,5,3)</f>
        <v>IP-</v>
      </c>
      <c r="O477" s="265" t="s">
        <v>2964</v>
      </c>
      <c r="P477" s="271"/>
      <c r="Q477" s="265" t="s">
        <v>146</v>
      </c>
      <c r="R477" s="265" t="s">
        <v>146</v>
      </c>
      <c r="S477" s="265" t="s">
        <v>146</v>
      </c>
      <c r="T477" s="111" t="s">
        <v>43</v>
      </c>
      <c r="U477" s="269" t="s">
        <v>1904</v>
      </c>
      <c r="V477" s="272">
        <v>44785</v>
      </c>
      <c r="W477" s="303" t="e">
        <f t="shared" si="213"/>
        <v>#VALUE!</v>
      </c>
      <c r="X477" s="303" t="e">
        <f t="shared" si="214"/>
        <v>#VALUE!</v>
      </c>
      <c r="Y477" s="265"/>
      <c r="Z477" s="265" t="s">
        <v>214</v>
      </c>
      <c r="AA477" s="265" t="s">
        <v>215</v>
      </c>
      <c r="AB477" s="272">
        <v>44911</v>
      </c>
      <c r="AC477" s="304" t="s">
        <v>4083</v>
      </c>
      <c r="AD477" s="272">
        <v>44833</v>
      </c>
      <c r="AE477" s="265"/>
      <c r="AF477" s="305" t="str">
        <f>+IF(AD477="","",TEXT(AD477,"mmm"))</f>
        <v>sep</v>
      </c>
      <c r="AG477" s="306">
        <f t="shared" si="215"/>
        <v>50</v>
      </c>
      <c r="AH477" s="307">
        <f t="shared" si="216"/>
        <v>48</v>
      </c>
      <c r="AI477" s="265"/>
      <c r="AJ477" s="265" t="s">
        <v>171</v>
      </c>
      <c r="AK477" s="265"/>
      <c r="AL477" s="265"/>
      <c r="AM477" s="309"/>
      <c r="AN477" s="269"/>
      <c r="AO477" s="265"/>
      <c r="AP477" s="309"/>
      <c r="AQ477" s="289"/>
      <c r="AR477" s="269"/>
      <c r="AS477" s="265"/>
      <c r="AT477" s="260"/>
      <c r="AU477" s="260"/>
      <c r="AV477" s="200"/>
      <c r="AW477" s="200"/>
      <c r="AX477" s="200"/>
      <c r="AY477" s="200"/>
      <c r="AZ477" s="139">
        <f t="shared" si="222"/>
        <v>0</v>
      </c>
      <c r="BA477" s="200"/>
      <c r="BB477" s="203"/>
      <c r="BC477" s="95"/>
      <c r="BD477" s="2"/>
      <c r="BE477" s="2"/>
    </row>
    <row r="478" spans="2:57" ht="43.9" customHeight="1" x14ac:dyDescent="0.25">
      <c r="B478" s="100">
        <f t="shared" si="218"/>
        <v>460</v>
      </c>
      <c r="C478" s="110" t="s">
        <v>2965</v>
      </c>
      <c r="D478" s="99" t="s">
        <v>32</v>
      </c>
      <c r="E478" s="189">
        <v>44784</v>
      </c>
      <c r="F478" s="268" t="s">
        <v>4438</v>
      </c>
      <c r="G478" s="188" t="s">
        <v>2966</v>
      </c>
      <c r="H478" s="188" t="s">
        <v>2967</v>
      </c>
      <c r="I478" s="96" t="s">
        <v>146</v>
      </c>
      <c r="J478" s="188" t="s">
        <v>2968</v>
      </c>
      <c r="K478" s="351">
        <v>57218550</v>
      </c>
      <c r="L478" s="188"/>
      <c r="M478" s="99" t="s">
        <v>3562</v>
      </c>
      <c r="N478" s="99"/>
      <c r="O478" s="194">
        <v>202205609</v>
      </c>
      <c r="P478" s="185"/>
      <c r="Q478" s="96" t="s">
        <v>146</v>
      </c>
      <c r="R478" s="96" t="s">
        <v>146</v>
      </c>
      <c r="S478" s="99" t="s">
        <v>146</v>
      </c>
      <c r="T478" s="111" t="s">
        <v>43</v>
      </c>
      <c r="U478" s="96" t="s">
        <v>312</v>
      </c>
      <c r="V478" s="199">
        <v>44785</v>
      </c>
      <c r="W478" s="186">
        <v>89</v>
      </c>
      <c r="X478" s="99">
        <v>88</v>
      </c>
      <c r="Y478" s="194" t="s">
        <v>1317</v>
      </c>
      <c r="Z478" s="99" t="s">
        <v>168</v>
      </c>
      <c r="AA478" s="99" t="s">
        <v>169</v>
      </c>
      <c r="AB478" s="188" t="s">
        <v>3563</v>
      </c>
      <c r="AC478" s="188"/>
      <c r="AD478" s="199">
        <v>44852</v>
      </c>
      <c r="AE478" s="183" t="s">
        <v>4271</v>
      </c>
      <c r="AF478" s="186">
        <v>68</v>
      </c>
      <c r="AG478" s="186"/>
      <c r="AH478" s="187">
        <v>67</v>
      </c>
      <c r="AI478" s="194" t="s">
        <v>258</v>
      </c>
      <c r="AJ478" s="188" t="s">
        <v>155</v>
      </c>
      <c r="AK478" s="194" t="s">
        <v>3975</v>
      </c>
      <c r="AL478" s="199">
        <v>44819</v>
      </c>
      <c r="AM478" s="204">
        <v>57218550</v>
      </c>
      <c r="AN478" s="194" t="s">
        <v>3976</v>
      </c>
      <c r="AO478" s="194">
        <v>202208548</v>
      </c>
      <c r="AP478" s="181">
        <f t="shared" ref="AP478:AP480" si="223">+K478-AM478</f>
        <v>0</v>
      </c>
      <c r="AQ478" s="194" t="s">
        <v>1000</v>
      </c>
      <c r="AR478" s="194" t="s">
        <v>692</v>
      </c>
      <c r="AS478" s="203"/>
      <c r="AT478" s="200"/>
      <c r="AU478" s="200"/>
      <c r="AV478" s="260"/>
      <c r="AW478" s="260"/>
      <c r="AX478" s="260"/>
      <c r="AY478" s="167">
        <f t="shared" ref="AY478:AY480" si="224">+AP478/K478</f>
        <v>0</v>
      </c>
      <c r="AZ478" s="139">
        <f t="shared" si="222"/>
        <v>1</v>
      </c>
      <c r="BA478" s="139">
        <f>IF(T478="Invitación Privada",1,IF(T478="Invitación Pública",2,0))</f>
        <v>1</v>
      </c>
      <c r="BB478" s="132">
        <f>IF(AA478="CONTRATADO",IF(BA478=1,NETWORKDAYS.INTL(E478,AD478,1,[1]FESTIVOS!$B$3:$B$10)-1,AD478-E478))-BD478</f>
        <v>38</v>
      </c>
      <c r="BD478" s="207">
        <v>10</v>
      </c>
      <c r="BE478" s="208" t="s">
        <v>3989</v>
      </c>
    </row>
    <row r="479" spans="2:57" ht="43.9" customHeight="1" x14ac:dyDescent="0.25">
      <c r="B479" s="100">
        <f t="shared" si="218"/>
        <v>461</v>
      </c>
      <c r="C479" s="267" t="s">
        <v>2969</v>
      </c>
      <c r="D479" s="265" t="s">
        <v>32</v>
      </c>
      <c r="E479" s="189">
        <v>44784</v>
      </c>
      <c r="F479" s="268" t="s">
        <v>4438</v>
      </c>
      <c r="G479" s="269" t="s">
        <v>2970</v>
      </c>
      <c r="H479" s="269" t="s">
        <v>2971</v>
      </c>
      <c r="I479" s="269" t="s">
        <v>146</v>
      </c>
      <c r="J479" s="269" t="s">
        <v>2972</v>
      </c>
      <c r="K479" s="352">
        <v>114437099</v>
      </c>
      <c r="L479" s="270"/>
      <c r="M479" s="265" t="s">
        <v>3564</v>
      </c>
      <c r="N479" s="279" t="str">
        <f>MID(M479,5,3)</f>
        <v>IP-</v>
      </c>
      <c r="O479" s="265">
        <v>202205611</v>
      </c>
      <c r="P479" s="271"/>
      <c r="Q479" s="269" t="s">
        <v>146</v>
      </c>
      <c r="R479" s="269" t="s">
        <v>146</v>
      </c>
      <c r="S479" s="265" t="s">
        <v>146</v>
      </c>
      <c r="T479" s="111" t="s">
        <v>43</v>
      </c>
      <c r="U479" s="269" t="s">
        <v>312</v>
      </c>
      <c r="V479" s="272">
        <v>44785</v>
      </c>
      <c r="W479" s="266" t="e">
        <f t="shared" ref="W479:W486" si="225">+$D$4-E479</f>
        <v>#VALUE!</v>
      </c>
      <c r="X479" s="266" t="e">
        <f t="shared" ref="X479:X486" si="226">$D$4-V479</f>
        <v>#VALUE!</v>
      </c>
      <c r="Y479" s="265" t="s">
        <v>1317</v>
      </c>
      <c r="Z479" s="269" t="s">
        <v>1327</v>
      </c>
      <c r="AA479" s="269" t="s">
        <v>169</v>
      </c>
      <c r="AB479" s="269"/>
      <c r="AC479" s="269" t="s">
        <v>3563</v>
      </c>
      <c r="AD479" s="272">
        <v>44844</v>
      </c>
      <c r="AE479" s="273" t="s">
        <v>4274</v>
      </c>
      <c r="AF479" s="273" t="str">
        <f>+IF(AD479="","",TEXT(AD479,"mmm"))</f>
        <v>oct</v>
      </c>
      <c r="AG479" s="274">
        <f t="shared" ref="AG479:AG486" si="227">+AD479-E479</f>
        <v>60</v>
      </c>
      <c r="AH479" s="275">
        <f t="shared" ref="AH479:AH486" si="228">+AD479-V479</f>
        <v>59</v>
      </c>
      <c r="AI479" s="265" t="s">
        <v>258</v>
      </c>
      <c r="AJ479" s="269" t="s">
        <v>155</v>
      </c>
      <c r="AK479" s="265" t="s">
        <v>4003</v>
      </c>
      <c r="AL479" s="272">
        <v>44819</v>
      </c>
      <c r="AM479" s="276">
        <v>114437099</v>
      </c>
      <c r="AN479" s="269" t="s">
        <v>4004</v>
      </c>
      <c r="AO479" s="265">
        <v>202208508</v>
      </c>
      <c r="AP479" s="181">
        <f t="shared" si="223"/>
        <v>0</v>
      </c>
      <c r="AQ479" s="277"/>
      <c r="AR479" s="265"/>
      <c r="AS479" s="265"/>
      <c r="AT479" s="194"/>
      <c r="AU479" s="193"/>
      <c r="AV479" s="194"/>
      <c r="AW479" s="194"/>
      <c r="AX479" s="193"/>
      <c r="AY479" s="167">
        <f t="shared" si="224"/>
        <v>0</v>
      </c>
      <c r="AZ479" s="139">
        <f t="shared" si="222"/>
        <v>1</v>
      </c>
      <c r="BA479" s="139">
        <f>IF(T479="Invitación Privada",1,IF(T479="Invitación Pública",2,0))</f>
        <v>1</v>
      </c>
      <c r="BB479" s="132">
        <f>IF(AA479="CONTRATADO",IF(BA479=1,NETWORKDAYS.INTL(E479,AD479,1,[1]FESTIVOS!$B$3:$B$10)-1,AD479-E479))-BD479</f>
        <v>28</v>
      </c>
      <c r="BD479" s="3">
        <v>14</v>
      </c>
      <c r="BE479" s="95" t="s">
        <v>4231</v>
      </c>
    </row>
    <row r="480" spans="2:57" ht="43.9" customHeight="1" x14ac:dyDescent="0.25">
      <c r="B480" s="100">
        <f t="shared" si="218"/>
        <v>462</v>
      </c>
      <c r="C480" s="267" t="s">
        <v>2973</v>
      </c>
      <c r="D480" s="265" t="s">
        <v>32</v>
      </c>
      <c r="E480" s="189">
        <v>44784</v>
      </c>
      <c r="F480" s="268" t="s">
        <v>4438</v>
      </c>
      <c r="G480" s="269" t="s">
        <v>2974</v>
      </c>
      <c r="H480" s="269" t="s">
        <v>2975</v>
      </c>
      <c r="I480" s="269" t="s">
        <v>146</v>
      </c>
      <c r="J480" s="269" t="s">
        <v>2976</v>
      </c>
      <c r="K480" s="352">
        <v>68662260</v>
      </c>
      <c r="L480" s="270"/>
      <c r="M480" s="265" t="s">
        <v>3565</v>
      </c>
      <c r="N480" s="279" t="str">
        <f>MID(M480,5,3)</f>
        <v>IP-</v>
      </c>
      <c r="O480" s="265">
        <v>202205610</v>
      </c>
      <c r="P480" s="271"/>
      <c r="Q480" s="269" t="s">
        <v>146</v>
      </c>
      <c r="R480" s="269" t="s">
        <v>146</v>
      </c>
      <c r="S480" s="265" t="s">
        <v>146</v>
      </c>
      <c r="T480" s="111" t="s">
        <v>43</v>
      </c>
      <c r="U480" s="269" t="s">
        <v>312</v>
      </c>
      <c r="V480" s="272">
        <v>44785</v>
      </c>
      <c r="W480" s="266" t="e">
        <f t="shared" si="225"/>
        <v>#VALUE!</v>
      </c>
      <c r="X480" s="266" t="e">
        <f t="shared" si="226"/>
        <v>#VALUE!</v>
      </c>
      <c r="Y480" s="265" t="s">
        <v>1317</v>
      </c>
      <c r="Z480" s="269" t="s">
        <v>1327</v>
      </c>
      <c r="AA480" s="269" t="s">
        <v>169</v>
      </c>
      <c r="AB480" s="278">
        <v>44895</v>
      </c>
      <c r="AC480" s="269" t="s">
        <v>3563</v>
      </c>
      <c r="AD480" s="272">
        <v>44844</v>
      </c>
      <c r="AE480" s="273" t="s">
        <v>4274</v>
      </c>
      <c r="AF480" s="273" t="str">
        <f>+IF(AD480="","",TEXT(AD480,"mmm"))</f>
        <v>oct</v>
      </c>
      <c r="AG480" s="274">
        <f t="shared" si="227"/>
        <v>60</v>
      </c>
      <c r="AH480" s="275">
        <f t="shared" si="228"/>
        <v>59</v>
      </c>
      <c r="AI480" s="265" t="s">
        <v>258</v>
      </c>
      <c r="AJ480" s="269" t="s">
        <v>155</v>
      </c>
      <c r="AK480" s="265" t="s">
        <v>4005</v>
      </c>
      <c r="AL480" s="272">
        <v>44819</v>
      </c>
      <c r="AM480" s="276">
        <v>68662260</v>
      </c>
      <c r="AN480" s="269" t="s">
        <v>4006</v>
      </c>
      <c r="AO480" s="265">
        <v>202208540</v>
      </c>
      <c r="AP480" s="181">
        <f t="shared" si="223"/>
        <v>0</v>
      </c>
      <c r="AQ480" s="277"/>
      <c r="AR480" s="265"/>
      <c r="AS480" s="265"/>
      <c r="AT480" s="194"/>
      <c r="AU480" s="193"/>
      <c r="AV480" s="194"/>
      <c r="AW480" s="194"/>
      <c r="AX480" s="193"/>
      <c r="AY480" s="167">
        <f t="shared" si="224"/>
        <v>0</v>
      </c>
      <c r="AZ480" s="139">
        <f t="shared" si="222"/>
        <v>1</v>
      </c>
      <c r="BA480" s="139">
        <f>IF(T480="Invitación Privada",1,IF(T480="Invitación Pública",2,0))</f>
        <v>1</v>
      </c>
      <c r="BB480" s="132">
        <f>IF(AA480="CONTRATADO",IF(BA480=1,NETWORKDAYS.INTL(E480,AD480,1,[1]FESTIVOS!$B$3:$B$10)-1,AD480-E480))-BD480</f>
        <v>28</v>
      </c>
      <c r="BD480" s="3">
        <v>14</v>
      </c>
      <c r="BE480" s="95" t="s">
        <v>4231</v>
      </c>
    </row>
    <row r="481" spans="2:57" ht="43.9" customHeight="1" x14ac:dyDescent="0.25">
      <c r="B481" s="100">
        <f t="shared" si="218"/>
        <v>463</v>
      </c>
      <c r="C481" s="293" t="s">
        <v>2977</v>
      </c>
      <c r="D481" s="312" t="s">
        <v>32</v>
      </c>
      <c r="E481" s="258">
        <v>44784</v>
      </c>
      <c r="F481" s="268" t="s">
        <v>4438</v>
      </c>
      <c r="G481" s="269" t="s">
        <v>2978</v>
      </c>
      <c r="H481" s="265" t="s">
        <v>2979</v>
      </c>
      <c r="I481" s="265" t="s">
        <v>146</v>
      </c>
      <c r="J481" s="269" t="s">
        <v>2980</v>
      </c>
      <c r="K481" s="342">
        <v>1032986133</v>
      </c>
      <c r="L481" s="270"/>
      <c r="M481" s="265" t="s">
        <v>3566</v>
      </c>
      <c r="N481" s="302" t="str">
        <f>MID(M481,5,3)</f>
        <v>IPU</v>
      </c>
      <c r="O481" s="265">
        <v>202205613</v>
      </c>
      <c r="P481" s="271"/>
      <c r="Q481" s="265" t="s">
        <v>146</v>
      </c>
      <c r="R481" s="265" t="s">
        <v>146</v>
      </c>
      <c r="S481" s="265" t="s">
        <v>146</v>
      </c>
      <c r="T481" s="111" t="s">
        <v>40</v>
      </c>
      <c r="U481" s="269" t="s">
        <v>312</v>
      </c>
      <c r="V481" s="272">
        <v>44797</v>
      </c>
      <c r="W481" s="303" t="e">
        <f t="shared" si="225"/>
        <v>#VALUE!</v>
      </c>
      <c r="X481" s="303" t="e">
        <f t="shared" si="226"/>
        <v>#VALUE!</v>
      </c>
      <c r="Y481" s="265" t="s">
        <v>1300</v>
      </c>
      <c r="Z481" s="265" t="s">
        <v>214</v>
      </c>
      <c r="AA481" s="265" t="s">
        <v>215</v>
      </c>
      <c r="AB481" s="265"/>
      <c r="AC481" s="304" t="s">
        <v>3957</v>
      </c>
      <c r="AD481" s="272">
        <v>44865</v>
      </c>
      <c r="AE481" s="272"/>
      <c r="AF481" s="305" t="str">
        <f>+IF(AD481="","",TEXT(AD481,"mmm"))</f>
        <v>oct</v>
      </c>
      <c r="AG481" s="306">
        <f t="shared" si="227"/>
        <v>81</v>
      </c>
      <c r="AH481" s="307">
        <f t="shared" si="228"/>
        <v>68</v>
      </c>
      <c r="AI481" s="265" t="s">
        <v>146</v>
      </c>
      <c r="AJ481" s="265" t="s">
        <v>155</v>
      </c>
      <c r="AK481" s="265"/>
      <c r="AL481" s="265"/>
      <c r="AM481" s="309"/>
      <c r="AN481" s="269"/>
      <c r="AO481" s="265"/>
      <c r="AP481" s="309"/>
      <c r="AQ481" s="289"/>
      <c r="AR481" s="269"/>
      <c r="AS481" s="265"/>
      <c r="AT481" s="260"/>
      <c r="AU481" s="260"/>
      <c r="AV481" s="200"/>
      <c r="AW481" s="200"/>
      <c r="AX481" s="200"/>
      <c r="AY481" s="200"/>
      <c r="AZ481" s="139">
        <f t="shared" si="222"/>
        <v>1</v>
      </c>
      <c r="BA481" s="200"/>
      <c r="BB481" s="203"/>
      <c r="BC481" s="95"/>
      <c r="BD481" s="2"/>
      <c r="BE481" s="2"/>
    </row>
    <row r="482" spans="2:57" ht="43.9" customHeight="1" x14ac:dyDescent="0.25">
      <c r="B482" s="100">
        <f t="shared" si="218"/>
        <v>464</v>
      </c>
      <c r="C482" s="110" t="s">
        <v>2981</v>
      </c>
      <c r="D482" s="99" t="s">
        <v>28</v>
      </c>
      <c r="E482" s="189">
        <v>44784</v>
      </c>
      <c r="F482" s="268" t="s">
        <v>4438</v>
      </c>
      <c r="G482" s="188" t="s">
        <v>2982</v>
      </c>
      <c r="H482" s="188" t="s">
        <v>2983</v>
      </c>
      <c r="I482" s="96" t="s">
        <v>146</v>
      </c>
      <c r="J482" s="213" t="s">
        <v>2984</v>
      </c>
      <c r="K482" s="351">
        <v>23000000</v>
      </c>
      <c r="L482" s="188" t="s">
        <v>3449</v>
      </c>
      <c r="M482" s="194" t="s">
        <v>3803</v>
      </c>
      <c r="N482" s="194"/>
      <c r="O482" s="194">
        <v>202204377</v>
      </c>
      <c r="P482" s="198">
        <v>23000000</v>
      </c>
      <c r="Q482" s="194" t="s">
        <v>146</v>
      </c>
      <c r="R482" s="96" t="s">
        <v>146</v>
      </c>
      <c r="S482" s="99" t="s">
        <v>146</v>
      </c>
      <c r="T482" s="111" t="s">
        <v>43</v>
      </c>
      <c r="U482" s="96" t="s">
        <v>1904</v>
      </c>
      <c r="V482" s="199">
        <v>44785</v>
      </c>
      <c r="W482" s="186" t="e">
        <f t="shared" si="225"/>
        <v>#VALUE!</v>
      </c>
      <c r="X482" s="99" t="e">
        <f t="shared" si="226"/>
        <v>#VALUE!</v>
      </c>
      <c r="Y482" s="194" t="s">
        <v>1317</v>
      </c>
      <c r="Z482" s="99" t="s">
        <v>168</v>
      </c>
      <c r="AA482" s="99" t="s">
        <v>169</v>
      </c>
      <c r="AB482" s="188"/>
      <c r="AC482" s="194"/>
      <c r="AD482" s="199">
        <v>44830</v>
      </c>
      <c r="AE482" s="183" t="s">
        <v>4262</v>
      </c>
      <c r="AF482" s="183"/>
      <c r="AG482" s="186">
        <f t="shared" si="227"/>
        <v>46</v>
      </c>
      <c r="AH482" s="187">
        <f t="shared" si="228"/>
        <v>45</v>
      </c>
      <c r="AI482" s="194" t="s">
        <v>258</v>
      </c>
      <c r="AJ482" s="188" t="s">
        <v>171</v>
      </c>
      <c r="AK482" s="194" t="s">
        <v>3804</v>
      </c>
      <c r="AL482" s="199">
        <v>44819</v>
      </c>
      <c r="AM482" s="204">
        <v>22478745</v>
      </c>
      <c r="AN482" s="188" t="s">
        <v>3805</v>
      </c>
      <c r="AO482" s="194">
        <v>202208530</v>
      </c>
      <c r="AP482" s="181">
        <f t="shared" ref="AP482:AP484" si="229">+K482-AM482</f>
        <v>521255</v>
      </c>
      <c r="AQ482" s="193"/>
      <c r="AR482" s="193"/>
      <c r="AS482" s="194"/>
      <c r="AT482" s="194"/>
      <c r="AU482" s="193"/>
      <c r="AV482" s="194" t="s">
        <v>174</v>
      </c>
      <c r="AW482" s="194" t="s">
        <v>175</v>
      </c>
      <c r="AX482" s="193"/>
      <c r="AY482" s="167">
        <f t="shared" ref="AY482:AY484" si="230">+AP482/K482</f>
        <v>2.2663260869565216E-2</v>
      </c>
      <c r="AZ482" s="139">
        <f t="shared" si="222"/>
        <v>1</v>
      </c>
      <c r="BA482" s="139">
        <f>IF(T482="Invitación Privada",1,IF(T482="Invitación Pública",2,0))</f>
        <v>1</v>
      </c>
      <c r="BB482" s="132">
        <f>IF(AA482="CONTRATADO",IF(BA482=1,NETWORKDAYS.INTL(E482,AD482,1,[1]FESTIVOS!$B$3:$B$10)-1,AD482-E482))-BD482</f>
        <v>32</v>
      </c>
      <c r="BD482" s="207"/>
      <c r="BE482" s="208"/>
    </row>
    <row r="483" spans="2:57" ht="43.9" customHeight="1" x14ac:dyDescent="0.25">
      <c r="B483" s="100">
        <f t="shared" si="218"/>
        <v>465</v>
      </c>
      <c r="C483" s="110" t="s">
        <v>2985</v>
      </c>
      <c r="D483" s="99" t="s">
        <v>332</v>
      </c>
      <c r="E483" s="189">
        <v>44784</v>
      </c>
      <c r="F483" s="268" t="s">
        <v>4438</v>
      </c>
      <c r="G483" s="188" t="s">
        <v>2986</v>
      </c>
      <c r="H483" s="188" t="s">
        <v>2987</v>
      </c>
      <c r="I483" s="188" t="s">
        <v>458</v>
      </c>
      <c r="J483" s="188" t="s">
        <v>2988</v>
      </c>
      <c r="K483" s="351">
        <v>479666592</v>
      </c>
      <c r="L483" s="188" t="s">
        <v>228</v>
      </c>
      <c r="M483" s="194" t="s">
        <v>146</v>
      </c>
      <c r="N483" s="194"/>
      <c r="O483" s="194">
        <v>202204126</v>
      </c>
      <c r="P483" s="198">
        <v>479666592</v>
      </c>
      <c r="Q483" s="96" t="s">
        <v>146</v>
      </c>
      <c r="R483" s="96" t="s">
        <v>146</v>
      </c>
      <c r="S483" s="99" t="s">
        <v>146</v>
      </c>
      <c r="T483" s="96" t="s">
        <v>230</v>
      </c>
      <c r="U483" s="96" t="s">
        <v>42</v>
      </c>
      <c r="V483" s="199">
        <v>44784</v>
      </c>
      <c r="W483" s="186" t="e">
        <f t="shared" si="225"/>
        <v>#VALUE!</v>
      </c>
      <c r="X483" s="99" t="e">
        <f t="shared" si="226"/>
        <v>#VALUE!</v>
      </c>
      <c r="Y483" s="194" t="s">
        <v>1317</v>
      </c>
      <c r="Z483" s="99" t="s">
        <v>168</v>
      </c>
      <c r="AA483" s="99" t="s">
        <v>169</v>
      </c>
      <c r="AB483" s="194"/>
      <c r="AC483" s="194"/>
      <c r="AD483" s="199">
        <v>44830</v>
      </c>
      <c r="AE483" s="183" t="s">
        <v>4262</v>
      </c>
      <c r="AF483" s="183"/>
      <c r="AG483" s="186">
        <f t="shared" si="227"/>
        <v>46</v>
      </c>
      <c r="AH483" s="187">
        <f t="shared" si="228"/>
        <v>46</v>
      </c>
      <c r="AI483" s="194" t="s">
        <v>146</v>
      </c>
      <c r="AJ483" s="188" t="s">
        <v>171</v>
      </c>
      <c r="AK483" s="188" t="s">
        <v>3806</v>
      </c>
      <c r="AL483" s="199">
        <v>44819</v>
      </c>
      <c r="AM483" s="204">
        <v>468344128</v>
      </c>
      <c r="AN483" s="188" t="s">
        <v>1023</v>
      </c>
      <c r="AO483" s="194">
        <v>202208537</v>
      </c>
      <c r="AP483" s="181">
        <f t="shared" si="229"/>
        <v>11322464</v>
      </c>
      <c r="AQ483" s="193"/>
      <c r="AR483" s="193"/>
      <c r="AS483" s="194"/>
      <c r="AT483" s="194"/>
      <c r="AU483" s="193"/>
      <c r="AV483" s="194" t="s">
        <v>174</v>
      </c>
      <c r="AW483" s="194" t="s">
        <v>175</v>
      </c>
      <c r="AX483" s="193"/>
      <c r="AY483" s="167">
        <f t="shared" si="230"/>
        <v>2.3604862604231565E-2</v>
      </c>
      <c r="AZ483" s="139">
        <f t="shared" si="222"/>
        <v>0</v>
      </c>
      <c r="BA483" s="139">
        <f>IF(T483="Invitación Privada",1,IF(T483="Invitación Pública",2,0))</f>
        <v>0</v>
      </c>
      <c r="BB483" s="132">
        <f>IF(AA483="CONTRATADO",IF(BA483=1,NETWORKDAYS.INTL(E483,AD483,1,[1]FESTIVOS!$B$3:$B$10)-1,AD483-E483))-BD483</f>
        <v>46</v>
      </c>
      <c r="BD483" s="207"/>
      <c r="BE483" s="208"/>
    </row>
    <row r="484" spans="2:57" ht="43.9" customHeight="1" x14ac:dyDescent="0.25">
      <c r="B484" s="100">
        <f t="shared" si="218"/>
        <v>466</v>
      </c>
      <c r="C484" s="110" t="s">
        <v>2989</v>
      </c>
      <c r="D484" s="99" t="s">
        <v>28</v>
      </c>
      <c r="E484" s="189">
        <v>44784</v>
      </c>
      <c r="F484" s="268" t="s">
        <v>4438</v>
      </c>
      <c r="G484" s="188" t="s">
        <v>2990</v>
      </c>
      <c r="H484" s="188" t="s">
        <v>2991</v>
      </c>
      <c r="I484" s="96" t="s">
        <v>146</v>
      </c>
      <c r="J484" s="213" t="s">
        <v>2992</v>
      </c>
      <c r="K484" s="351">
        <v>127950000</v>
      </c>
      <c r="L484" s="188" t="s">
        <v>3020</v>
      </c>
      <c r="M484" s="194" t="s">
        <v>3807</v>
      </c>
      <c r="N484" s="194"/>
      <c r="O484" s="194" t="s">
        <v>2993</v>
      </c>
      <c r="P484" s="198">
        <v>127950000</v>
      </c>
      <c r="Q484" s="96" t="s">
        <v>146</v>
      </c>
      <c r="R484" s="96" t="s">
        <v>146</v>
      </c>
      <c r="S484" s="99" t="s">
        <v>146</v>
      </c>
      <c r="T484" s="111" t="s">
        <v>43</v>
      </c>
      <c r="U484" s="96" t="s">
        <v>312</v>
      </c>
      <c r="V484" s="199">
        <v>44784</v>
      </c>
      <c r="W484" s="186" t="e">
        <f t="shared" si="225"/>
        <v>#VALUE!</v>
      </c>
      <c r="X484" s="99" t="e">
        <f t="shared" si="226"/>
        <v>#VALUE!</v>
      </c>
      <c r="Y484" s="194" t="s">
        <v>1317</v>
      </c>
      <c r="Z484" s="99" t="s">
        <v>168</v>
      </c>
      <c r="AA484" s="99" t="s">
        <v>169</v>
      </c>
      <c r="AB484" s="188"/>
      <c r="AC484" s="194"/>
      <c r="AD484" s="199">
        <v>44819</v>
      </c>
      <c r="AE484" s="183" t="s">
        <v>4262</v>
      </c>
      <c r="AF484" s="183"/>
      <c r="AG484" s="186">
        <f t="shared" si="227"/>
        <v>35</v>
      </c>
      <c r="AH484" s="187">
        <f t="shared" si="228"/>
        <v>35</v>
      </c>
      <c r="AI484" s="194" t="s">
        <v>258</v>
      </c>
      <c r="AJ484" s="188" t="s">
        <v>171</v>
      </c>
      <c r="AK484" s="194" t="s">
        <v>3808</v>
      </c>
      <c r="AL484" s="199">
        <v>44812</v>
      </c>
      <c r="AM484" s="204">
        <v>107439632</v>
      </c>
      <c r="AN484" s="188" t="s">
        <v>3809</v>
      </c>
      <c r="AO484" s="194"/>
      <c r="AP484" s="181">
        <f t="shared" si="229"/>
        <v>20510368</v>
      </c>
      <c r="AQ484" s="193"/>
      <c r="AR484" s="193"/>
      <c r="AS484" s="194"/>
      <c r="AT484" s="194"/>
      <c r="AU484" s="193"/>
      <c r="AV484" s="194" t="s">
        <v>174</v>
      </c>
      <c r="AW484" s="194" t="s">
        <v>175</v>
      </c>
      <c r="AX484" s="193"/>
      <c r="AY484" s="167">
        <f t="shared" si="230"/>
        <v>0.16029986713559985</v>
      </c>
      <c r="AZ484" s="139">
        <f t="shared" si="222"/>
        <v>1</v>
      </c>
      <c r="BA484" s="139">
        <f>IF(T484="Invitación Privada",1,IF(T484="Invitación Pública",2,0))</f>
        <v>1</v>
      </c>
      <c r="BB484" s="132">
        <f>IF(AA484="CONTRATADO",IF(BA484=1,NETWORKDAYS.INTL(E484,AD484,1,[1]FESTIVOS!$B$3:$B$10)-1,AD484-E484))-BD484</f>
        <v>25</v>
      </c>
      <c r="BD484" s="207">
        <v>0</v>
      </c>
      <c r="BE484" s="208" t="s">
        <v>3900</v>
      </c>
    </row>
    <row r="485" spans="2:57" ht="43.9" customHeight="1" x14ac:dyDescent="0.25">
      <c r="B485" s="100">
        <f t="shared" si="218"/>
        <v>467</v>
      </c>
      <c r="C485" s="293" t="s">
        <v>2994</v>
      </c>
      <c r="D485" s="312" t="s">
        <v>32</v>
      </c>
      <c r="E485" s="258">
        <v>44784</v>
      </c>
      <c r="F485" s="268" t="s">
        <v>4438</v>
      </c>
      <c r="G485" s="269" t="s">
        <v>2995</v>
      </c>
      <c r="H485" s="265" t="s">
        <v>2996</v>
      </c>
      <c r="I485" s="265" t="s">
        <v>146</v>
      </c>
      <c r="J485" s="269" t="s">
        <v>2997</v>
      </c>
      <c r="K485" s="342">
        <v>1799998547</v>
      </c>
      <c r="L485" s="270"/>
      <c r="M485" s="265" t="s">
        <v>3567</v>
      </c>
      <c r="N485" s="302" t="str">
        <f>MID(M485,5,3)</f>
        <v>IP-</v>
      </c>
      <c r="O485" s="265" t="s">
        <v>2998</v>
      </c>
      <c r="P485" s="271"/>
      <c r="Q485" s="265" t="s">
        <v>3189</v>
      </c>
      <c r="R485" s="265" t="s">
        <v>146</v>
      </c>
      <c r="S485" s="265" t="s">
        <v>146</v>
      </c>
      <c r="T485" s="111" t="s">
        <v>43</v>
      </c>
      <c r="U485" s="269" t="s">
        <v>1904</v>
      </c>
      <c r="V485" s="272">
        <v>44785</v>
      </c>
      <c r="W485" s="303" t="e">
        <f t="shared" si="225"/>
        <v>#VALUE!</v>
      </c>
      <c r="X485" s="303" t="e">
        <f t="shared" si="226"/>
        <v>#VALUE!</v>
      </c>
      <c r="Y485" s="265" t="s">
        <v>1300</v>
      </c>
      <c r="Z485" s="265" t="s">
        <v>214</v>
      </c>
      <c r="AA485" s="265" t="s">
        <v>215</v>
      </c>
      <c r="AB485" s="265"/>
      <c r="AC485" s="304" t="s">
        <v>4028</v>
      </c>
      <c r="AD485" s="272">
        <v>44876</v>
      </c>
      <c r="AE485" s="265"/>
      <c r="AF485" s="305" t="str">
        <f>+IF(AD485="","",TEXT(AD485,"mmm"))</f>
        <v>nov</v>
      </c>
      <c r="AG485" s="306">
        <f t="shared" si="227"/>
        <v>92</v>
      </c>
      <c r="AH485" s="307">
        <f t="shared" si="228"/>
        <v>91</v>
      </c>
      <c r="AI485" s="265"/>
      <c r="AJ485" s="265" t="s">
        <v>155</v>
      </c>
      <c r="AK485" s="265"/>
      <c r="AL485" s="265"/>
      <c r="AM485" s="309"/>
      <c r="AN485" s="269"/>
      <c r="AO485" s="265"/>
      <c r="AP485" s="309"/>
      <c r="AQ485" s="289"/>
      <c r="AR485" s="269"/>
      <c r="AS485" s="265"/>
      <c r="AT485" s="260"/>
      <c r="AU485" s="260"/>
      <c r="AV485" s="200"/>
      <c r="AW485" s="200"/>
      <c r="AX485" s="200"/>
      <c r="AY485" s="200"/>
      <c r="AZ485" s="139">
        <f t="shared" si="222"/>
        <v>1</v>
      </c>
      <c r="BA485" s="200"/>
      <c r="BB485" s="203"/>
      <c r="BC485" s="95"/>
      <c r="BD485" s="2"/>
      <c r="BE485" s="2"/>
    </row>
    <row r="486" spans="2:57" ht="43.9" customHeight="1" x14ac:dyDescent="0.25">
      <c r="B486" s="100">
        <f t="shared" si="218"/>
        <v>468</v>
      </c>
      <c r="C486" s="110" t="s">
        <v>2999</v>
      </c>
      <c r="D486" s="99" t="s">
        <v>32</v>
      </c>
      <c r="E486" s="189">
        <v>44784</v>
      </c>
      <c r="F486" s="268" t="s">
        <v>4438</v>
      </c>
      <c r="G486" s="188" t="s">
        <v>3000</v>
      </c>
      <c r="H486" s="188" t="s">
        <v>3001</v>
      </c>
      <c r="I486" s="96" t="s">
        <v>146</v>
      </c>
      <c r="J486" s="213" t="s">
        <v>3002</v>
      </c>
      <c r="K486" s="351">
        <v>6220169</v>
      </c>
      <c r="L486" s="188" t="s">
        <v>3745</v>
      </c>
      <c r="M486" s="194" t="s">
        <v>3810</v>
      </c>
      <c r="N486" s="194"/>
      <c r="O486" s="194">
        <v>202205585</v>
      </c>
      <c r="P486" s="185">
        <v>6300000</v>
      </c>
      <c r="Q486" s="194" t="s">
        <v>146</v>
      </c>
      <c r="R486" s="96" t="s">
        <v>146</v>
      </c>
      <c r="S486" s="99" t="s">
        <v>146</v>
      </c>
      <c r="T486" s="111" t="s">
        <v>43</v>
      </c>
      <c r="U486" s="96" t="s">
        <v>921</v>
      </c>
      <c r="V486" s="199">
        <v>44785</v>
      </c>
      <c r="W486" s="186" t="e">
        <f t="shared" si="225"/>
        <v>#VALUE!</v>
      </c>
      <c r="X486" s="99" t="e">
        <f t="shared" si="226"/>
        <v>#VALUE!</v>
      </c>
      <c r="Y486" s="194" t="s">
        <v>1317</v>
      </c>
      <c r="Z486" s="99" t="s">
        <v>168</v>
      </c>
      <c r="AA486" s="99" t="s">
        <v>169</v>
      </c>
      <c r="AB486" s="188"/>
      <c r="AC486" s="194"/>
      <c r="AD486" s="199">
        <v>44816</v>
      </c>
      <c r="AE486" s="183" t="s">
        <v>4262</v>
      </c>
      <c r="AF486" s="183"/>
      <c r="AG486" s="186">
        <f t="shared" si="227"/>
        <v>32</v>
      </c>
      <c r="AH486" s="187">
        <f t="shared" si="228"/>
        <v>31</v>
      </c>
      <c r="AI486" s="194" t="s">
        <v>258</v>
      </c>
      <c r="AJ486" s="188" t="s">
        <v>171</v>
      </c>
      <c r="AK486" s="194" t="s">
        <v>3811</v>
      </c>
      <c r="AL486" s="199">
        <v>44811</v>
      </c>
      <c r="AM486" s="204">
        <v>6220169</v>
      </c>
      <c r="AN486" s="188" t="s">
        <v>3812</v>
      </c>
      <c r="AO486" s="194">
        <v>202208341</v>
      </c>
      <c r="AP486" s="181">
        <f t="shared" ref="AP486:AP490" si="231">+K486-AM486</f>
        <v>0</v>
      </c>
      <c r="AQ486" s="193"/>
      <c r="AR486" s="193"/>
      <c r="AS486" s="194"/>
      <c r="AT486" s="194"/>
      <c r="AU486" s="193"/>
      <c r="AV486" s="194"/>
      <c r="AW486" s="194"/>
      <c r="AX486" s="193"/>
      <c r="AY486" s="167">
        <f t="shared" ref="AY486:AY490" si="232">+AP486/K486</f>
        <v>0</v>
      </c>
      <c r="AZ486" s="139">
        <f t="shared" si="222"/>
        <v>1</v>
      </c>
      <c r="BA486" s="139">
        <f>IF(T486="Invitación Privada",1,IF(T486="Invitación Pública",2,0))</f>
        <v>1</v>
      </c>
      <c r="BB486" s="132">
        <f>IF(AA486="CONTRATADO",IF(BA486=1,NETWORKDAYS.INTL(E486,AD486,1,[1]FESTIVOS!$B$3:$B$10)-1,AD486-E486))-BD486</f>
        <v>22</v>
      </c>
    </row>
    <row r="487" spans="2:57" ht="43.9" customHeight="1" x14ac:dyDescent="0.25">
      <c r="B487" s="100">
        <f t="shared" si="218"/>
        <v>469</v>
      </c>
      <c r="C487" s="110" t="s">
        <v>3480</v>
      </c>
      <c r="D487" s="99" t="s">
        <v>28</v>
      </c>
      <c r="E487" s="189">
        <v>44785</v>
      </c>
      <c r="F487" s="268" t="s">
        <v>4438</v>
      </c>
      <c r="G487" s="96" t="s">
        <v>3481</v>
      </c>
      <c r="H487" s="96" t="s">
        <v>3482</v>
      </c>
      <c r="I487" s="96" t="s">
        <v>146</v>
      </c>
      <c r="J487" s="133" t="s">
        <v>3483</v>
      </c>
      <c r="K487" s="341">
        <v>240344958</v>
      </c>
      <c r="L487" s="96" t="s">
        <v>3484</v>
      </c>
      <c r="M487" s="96" t="s">
        <v>3485</v>
      </c>
      <c r="N487" s="96"/>
      <c r="O487" s="99">
        <v>202204550</v>
      </c>
      <c r="P487" s="169">
        <v>260000000</v>
      </c>
      <c r="Q487" s="96" t="s">
        <v>146</v>
      </c>
      <c r="R487" s="96" t="s">
        <v>146</v>
      </c>
      <c r="S487" s="99" t="s">
        <v>146</v>
      </c>
      <c r="T487" s="111" t="s">
        <v>43</v>
      </c>
      <c r="U487" s="96" t="s">
        <v>2889</v>
      </c>
      <c r="V487" s="97">
        <v>44785</v>
      </c>
      <c r="W487" s="99"/>
      <c r="X487" s="99"/>
      <c r="Y487" s="99" t="s">
        <v>1317</v>
      </c>
      <c r="Z487" s="99" t="s">
        <v>168</v>
      </c>
      <c r="AA487" s="99" t="s">
        <v>169</v>
      </c>
      <c r="AB487" s="96"/>
      <c r="AC487" s="99"/>
      <c r="AD487" s="147">
        <v>44803</v>
      </c>
      <c r="AE487" s="183" t="s">
        <v>4438</v>
      </c>
      <c r="AF487" s="171"/>
      <c r="AG487" s="170">
        <v>18</v>
      </c>
      <c r="AH487" s="144">
        <v>18</v>
      </c>
      <c r="AI487" s="99" t="s">
        <v>258</v>
      </c>
      <c r="AJ487" s="96" t="s">
        <v>155</v>
      </c>
      <c r="AK487" s="99" t="s">
        <v>3486</v>
      </c>
      <c r="AL487" s="97">
        <v>44799</v>
      </c>
      <c r="AM487" s="204">
        <v>240014937</v>
      </c>
      <c r="AN487" s="96" t="s">
        <v>3079</v>
      </c>
      <c r="AO487" s="99">
        <v>202207960</v>
      </c>
      <c r="AP487" s="181">
        <f t="shared" si="231"/>
        <v>330021</v>
      </c>
      <c r="AQ487" s="138"/>
      <c r="AR487" s="138"/>
      <c r="AS487" s="99"/>
      <c r="AT487" s="99"/>
      <c r="AU487" s="138"/>
      <c r="AV487" s="99" t="s">
        <v>174</v>
      </c>
      <c r="AW487" s="99" t="s">
        <v>175</v>
      </c>
      <c r="AX487" s="138"/>
      <c r="AY487" s="167">
        <f t="shared" si="232"/>
        <v>1.3731138890793789E-3</v>
      </c>
      <c r="AZ487" s="139">
        <f t="shared" si="222"/>
        <v>1</v>
      </c>
      <c r="BA487" s="139">
        <f>IF(T487="Invitación Privada",1,IF(T487="Invitación Pública",2,0))</f>
        <v>1</v>
      </c>
      <c r="BB487" s="132">
        <f>IF(AA487="CONTRATADO",IF(BA487=1,NETWORKDAYS.INTL(E487,AD487,1,[1]FESTIVOS!$B$3:$B$10)-1,AD487-E487))-BD487</f>
        <v>12</v>
      </c>
      <c r="BC487" s="156"/>
      <c r="BD487" s="158"/>
      <c r="BE487" s="159"/>
    </row>
    <row r="488" spans="2:57" ht="43.9" customHeight="1" x14ac:dyDescent="0.25">
      <c r="B488" s="100">
        <f t="shared" si="218"/>
        <v>470</v>
      </c>
      <c r="C488" s="110" t="s">
        <v>156</v>
      </c>
      <c r="D488" s="99" t="s">
        <v>28</v>
      </c>
      <c r="E488" s="189">
        <v>44785</v>
      </c>
      <c r="F488" s="268" t="s">
        <v>4438</v>
      </c>
      <c r="G488" s="96" t="s">
        <v>3487</v>
      </c>
      <c r="H488" s="96" t="s">
        <v>3488</v>
      </c>
      <c r="I488" s="96" t="s">
        <v>146</v>
      </c>
      <c r="J488" s="133" t="s">
        <v>3489</v>
      </c>
      <c r="K488" s="341">
        <v>147703526</v>
      </c>
      <c r="L488" s="96" t="s">
        <v>2359</v>
      </c>
      <c r="M488" s="96" t="s">
        <v>3490</v>
      </c>
      <c r="N488" s="96"/>
      <c r="O488" s="99">
        <v>202205571</v>
      </c>
      <c r="P488" s="179">
        <v>147703526</v>
      </c>
      <c r="Q488" s="96" t="s">
        <v>146</v>
      </c>
      <c r="R488" s="96" t="s">
        <v>146</v>
      </c>
      <c r="S488" s="99" t="s">
        <v>146</v>
      </c>
      <c r="T488" s="111" t="s">
        <v>43</v>
      </c>
      <c r="U488" s="96" t="s">
        <v>2889</v>
      </c>
      <c r="V488" s="97">
        <v>44785</v>
      </c>
      <c r="W488" s="99"/>
      <c r="X488" s="99"/>
      <c r="Y488" s="99" t="s">
        <v>1317</v>
      </c>
      <c r="Z488" s="99" t="s">
        <v>168</v>
      </c>
      <c r="AA488" s="99" t="s">
        <v>169</v>
      </c>
      <c r="AB488" s="96"/>
      <c r="AC488" s="99"/>
      <c r="AD488" s="97">
        <v>44804</v>
      </c>
      <c r="AE488" s="183" t="s">
        <v>4438</v>
      </c>
      <c r="AF488" s="171"/>
      <c r="AG488" s="170">
        <v>19</v>
      </c>
      <c r="AH488" s="144">
        <v>19</v>
      </c>
      <c r="AI488" s="99" t="s">
        <v>258</v>
      </c>
      <c r="AJ488" s="96" t="s">
        <v>155</v>
      </c>
      <c r="AK488" s="99" t="s">
        <v>3491</v>
      </c>
      <c r="AL488" s="97">
        <v>44799</v>
      </c>
      <c r="AM488" s="204">
        <v>147701432</v>
      </c>
      <c r="AN488" s="96" t="s">
        <v>3492</v>
      </c>
      <c r="AO488" s="99">
        <v>202207956</v>
      </c>
      <c r="AP488" s="181">
        <f t="shared" si="231"/>
        <v>2094</v>
      </c>
      <c r="AQ488" s="138"/>
      <c r="AR488" s="138"/>
      <c r="AS488" s="99"/>
      <c r="AT488" s="99"/>
      <c r="AU488" s="138"/>
      <c r="AV488" s="99" t="s">
        <v>174</v>
      </c>
      <c r="AW488" s="99" t="s">
        <v>175</v>
      </c>
      <c r="AX488" s="138"/>
      <c r="AY488" s="167">
        <f t="shared" si="232"/>
        <v>1.4177048149818712E-5</v>
      </c>
      <c r="AZ488" s="139">
        <f t="shared" si="222"/>
        <v>1</v>
      </c>
      <c r="BA488" s="139">
        <f>IF(T488="Invitación Privada",1,IF(T488="Invitación Pública",2,0))</f>
        <v>1</v>
      </c>
      <c r="BB488" s="132">
        <f>IF(AA488="CONTRATADO",IF(BA488=1,NETWORKDAYS.INTL(E488,AD488,1,[1]FESTIVOS!$B$3:$B$10)-1,AD488-E488))-BD488</f>
        <v>13</v>
      </c>
      <c r="BC488" s="156"/>
      <c r="BD488" s="158"/>
      <c r="BE488" s="159"/>
    </row>
    <row r="489" spans="2:57" ht="43.9" customHeight="1" x14ac:dyDescent="0.25">
      <c r="B489" s="100">
        <f t="shared" si="218"/>
        <v>471</v>
      </c>
      <c r="C489" s="110" t="s">
        <v>3190</v>
      </c>
      <c r="D489" s="99" t="s">
        <v>33</v>
      </c>
      <c r="E489" s="189">
        <v>44789</v>
      </c>
      <c r="F489" s="268" t="s">
        <v>4438</v>
      </c>
      <c r="G489" s="201" t="s">
        <v>255</v>
      </c>
      <c r="H489" s="188" t="s">
        <v>2046</v>
      </c>
      <c r="I489" s="96" t="s">
        <v>146</v>
      </c>
      <c r="J489" s="188" t="s">
        <v>2047</v>
      </c>
      <c r="K489" s="351">
        <v>1000000000</v>
      </c>
      <c r="L489" s="188" t="s">
        <v>3030</v>
      </c>
      <c r="M489" s="188" t="s">
        <v>3813</v>
      </c>
      <c r="N489" s="188"/>
      <c r="O489" s="194">
        <v>202203593</v>
      </c>
      <c r="P489" s="185"/>
      <c r="Q489" s="194" t="s">
        <v>146</v>
      </c>
      <c r="R489" s="194" t="s">
        <v>146</v>
      </c>
      <c r="S489" s="99" t="s">
        <v>146</v>
      </c>
      <c r="T489" s="111" t="s">
        <v>43</v>
      </c>
      <c r="U489" s="96" t="s">
        <v>1904</v>
      </c>
      <c r="V489" s="199">
        <v>44789</v>
      </c>
      <c r="W489" s="186" t="e">
        <f>+$D$4-E489</f>
        <v>#VALUE!</v>
      </c>
      <c r="X489" s="99" t="e">
        <f>$D$4-V489</f>
        <v>#VALUE!</v>
      </c>
      <c r="Y489" s="194" t="s">
        <v>1317</v>
      </c>
      <c r="Z489" s="99" t="s">
        <v>168</v>
      </c>
      <c r="AA489" s="99" t="s">
        <v>169</v>
      </c>
      <c r="AB489" s="188"/>
      <c r="AC489" s="194"/>
      <c r="AD489" s="206">
        <v>44826</v>
      </c>
      <c r="AE489" s="183" t="s">
        <v>4262</v>
      </c>
      <c r="AF489" s="183"/>
      <c r="AG489" s="186">
        <f>+AD489-E489</f>
        <v>37</v>
      </c>
      <c r="AH489" s="187">
        <f>+AD489-V489</f>
        <v>37</v>
      </c>
      <c r="AI489" s="194" t="s">
        <v>2388</v>
      </c>
      <c r="AJ489" s="188" t="s">
        <v>155</v>
      </c>
      <c r="AK489" s="194" t="s">
        <v>3814</v>
      </c>
      <c r="AL489" s="199">
        <v>44819</v>
      </c>
      <c r="AM489" s="204">
        <v>958726933</v>
      </c>
      <c r="AN489" s="188" t="s">
        <v>3815</v>
      </c>
      <c r="AO489" s="194">
        <v>202208550</v>
      </c>
      <c r="AP489" s="181">
        <f t="shared" si="231"/>
        <v>41273067</v>
      </c>
      <c r="AQ489" s="193"/>
      <c r="AR489" s="193"/>
      <c r="AS489" s="194"/>
      <c r="AT489" s="194"/>
      <c r="AU489" s="193"/>
      <c r="AV489" s="194" t="s">
        <v>1000</v>
      </c>
      <c r="AW489" s="194" t="s">
        <v>692</v>
      </c>
      <c r="AX489" s="193"/>
      <c r="AY489" s="167">
        <f t="shared" si="232"/>
        <v>4.1273066999999997E-2</v>
      </c>
      <c r="AZ489" s="139">
        <f t="shared" si="222"/>
        <v>1</v>
      </c>
      <c r="BA489" s="139">
        <f>IF(T489="Invitación Privada",1,IF(T489="Invitación Pública",2,0))</f>
        <v>1</v>
      </c>
      <c r="BB489" s="132">
        <f>IF(AA489="CONTRATADO",IF(BA489=1,NETWORKDAYS.INTL(E489,AD489,1,[1]FESTIVOS!$B$3:$B$10)-1,AD489-E489))-BD489</f>
        <v>27</v>
      </c>
      <c r="BD489" s="207"/>
      <c r="BE489" s="208"/>
    </row>
    <row r="490" spans="2:57" ht="43.9" customHeight="1" x14ac:dyDescent="0.25">
      <c r="B490" s="100">
        <f t="shared" si="218"/>
        <v>472</v>
      </c>
      <c r="C490" s="110" t="s">
        <v>3493</v>
      </c>
      <c r="D490" s="99" t="s">
        <v>28</v>
      </c>
      <c r="E490" s="189">
        <v>44789</v>
      </c>
      <c r="F490" s="268" t="s">
        <v>4438</v>
      </c>
      <c r="G490" s="96" t="s">
        <v>255</v>
      </c>
      <c r="H490" s="96" t="s">
        <v>1385</v>
      </c>
      <c r="I490" s="96" t="s">
        <v>146</v>
      </c>
      <c r="J490" s="133" t="s">
        <v>1386</v>
      </c>
      <c r="K490" s="341">
        <v>52771303</v>
      </c>
      <c r="L490" s="96" t="s">
        <v>1801</v>
      </c>
      <c r="M490" s="99" t="s">
        <v>3494</v>
      </c>
      <c r="N490" s="99"/>
      <c r="O490" s="99">
        <v>202201835</v>
      </c>
      <c r="P490" s="179">
        <v>52771303</v>
      </c>
      <c r="Q490" s="96" t="s">
        <v>146</v>
      </c>
      <c r="R490" s="96" t="s">
        <v>146</v>
      </c>
      <c r="S490" s="99" t="s">
        <v>146</v>
      </c>
      <c r="T490" s="111" t="s">
        <v>43</v>
      </c>
      <c r="U490" s="96" t="s">
        <v>503</v>
      </c>
      <c r="V490" s="97">
        <v>44789</v>
      </c>
      <c r="W490" s="170">
        <v>29</v>
      </c>
      <c r="X490" s="99">
        <v>29</v>
      </c>
      <c r="Y490" s="99" t="s">
        <v>1317</v>
      </c>
      <c r="Z490" s="99" t="s">
        <v>168</v>
      </c>
      <c r="AA490" s="99" t="s">
        <v>169</v>
      </c>
      <c r="AB490" s="96"/>
      <c r="AC490" s="99"/>
      <c r="AD490" s="97">
        <v>44798</v>
      </c>
      <c r="AE490" s="183" t="s">
        <v>4438</v>
      </c>
      <c r="AF490" s="171"/>
      <c r="AG490" s="170">
        <v>9</v>
      </c>
      <c r="AH490" s="144">
        <v>9</v>
      </c>
      <c r="AI490" s="99" t="s">
        <v>258</v>
      </c>
      <c r="AJ490" s="96" t="s">
        <v>171</v>
      </c>
      <c r="AK490" s="99" t="s">
        <v>3495</v>
      </c>
      <c r="AL490" s="97">
        <v>44797</v>
      </c>
      <c r="AM490" s="204">
        <v>52750385</v>
      </c>
      <c r="AN490" s="96" t="s">
        <v>3496</v>
      </c>
      <c r="AO490" s="99">
        <v>202207896</v>
      </c>
      <c r="AP490" s="181">
        <f t="shared" si="231"/>
        <v>20918</v>
      </c>
      <c r="AQ490" s="138"/>
      <c r="AR490" s="138"/>
      <c r="AS490" s="99"/>
      <c r="AT490" s="99"/>
      <c r="AU490" s="138"/>
      <c r="AV490" s="99" t="s">
        <v>174</v>
      </c>
      <c r="AW490" s="99" t="s">
        <v>175</v>
      </c>
      <c r="AX490" s="138"/>
      <c r="AY490" s="167">
        <f t="shared" si="232"/>
        <v>3.963896817177321E-4</v>
      </c>
      <c r="AZ490" s="139">
        <f t="shared" si="222"/>
        <v>1</v>
      </c>
      <c r="BA490" s="139">
        <f>IF(T490="Invitación Privada",1,IF(T490="Invitación Pública",2,0))</f>
        <v>1</v>
      </c>
      <c r="BB490" s="132">
        <f>IF(AA490="CONTRATADO",IF(BA490=1,NETWORKDAYS.INTL(E490,AD490,1,[1]FESTIVOS!$B$3:$B$10)-1,AD490-E490))-BD490</f>
        <v>7</v>
      </c>
      <c r="BC490" s="156"/>
      <c r="BD490" s="162"/>
      <c r="BE490" s="163"/>
    </row>
    <row r="491" spans="2:57" ht="43.9" customHeight="1" x14ac:dyDescent="0.25">
      <c r="B491" s="100">
        <f t="shared" si="218"/>
        <v>473</v>
      </c>
      <c r="C491" s="293" t="s">
        <v>3191</v>
      </c>
      <c r="D491" s="312" t="s">
        <v>32</v>
      </c>
      <c r="E491" s="258">
        <v>44790</v>
      </c>
      <c r="F491" s="268" t="s">
        <v>4438</v>
      </c>
      <c r="G491" s="269" t="s">
        <v>3930</v>
      </c>
      <c r="H491" s="265" t="s">
        <v>1931</v>
      </c>
      <c r="I491" s="265" t="s">
        <v>146</v>
      </c>
      <c r="J491" s="269" t="s">
        <v>1932</v>
      </c>
      <c r="K491" s="342">
        <v>7345655149</v>
      </c>
      <c r="L491" s="270"/>
      <c r="M491" s="265" t="s">
        <v>3192</v>
      </c>
      <c r="N491" s="302" t="str">
        <f>MID(M491,5,3)</f>
        <v>IP-</v>
      </c>
      <c r="O491" s="265">
        <v>202202695</v>
      </c>
      <c r="P491" s="271"/>
      <c r="Q491" s="293" t="s">
        <v>3167</v>
      </c>
      <c r="R491" s="265" t="s">
        <v>146</v>
      </c>
      <c r="S491" s="265" t="s">
        <v>146</v>
      </c>
      <c r="T491" s="111" t="s">
        <v>43</v>
      </c>
      <c r="U491" s="269" t="s">
        <v>187</v>
      </c>
      <c r="V491" s="272">
        <v>44790</v>
      </c>
      <c r="W491" s="303" t="e">
        <f>+$D$4-E491</f>
        <v>#VALUE!</v>
      </c>
      <c r="X491" s="303" t="e">
        <f>$D$4-V491</f>
        <v>#VALUE!</v>
      </c>
      <c r="Y491" s="265" t="s">
        <v>1300</v>
      </c>
      <c r="Z491" s="265" t="s">
        <v>152</v>
      </c>
      <c r="AA491" s="265" t="s">
        <v>153</v>
      </c>
      <c r="AB491" s="272">
        <v>44889</v>
      </c>
      <c r="AC491" s="304" t="s">
        <v>4014</v>
      </c>
      <c r="AD491" s="272">
        <v>44888</v>
      </c>
      <c r="AE491" s="265"/>
      <c r="AF491" s="305" t="str">
        <f>+IF(AD491="","",TEXT(AD491,"mmm"))</f>
        <v>nov</v>
      </c>
      <c r="AG491" s="306">
        <f>+AD491-E491</f>
        <v>98</v>
      </c>
      <c r="AH491" s="307">
        <f>+AD491-V491</f>
        <v>98</v>
      </c>
      <c r="AI491" s="265" t="s">
        <v>2388</v>
      </c>
      <c r="AJ491" s="265" t="s">
        <v>171</v>
      </c>
      <c r="AK491" s="265"/>
      <c r="AL491" s="265"/>
      <c r="AM491" s="265"/>
      <c r="AN491" s="309"/>
      <c r="AO491" s="269"/>
      <c r="AP491" s="265"/>
      <c r="AQ491" s="309"/>
      <c r="AR491" s="289"/>
      <c r="AS491" s="269"/>
      <c r="AT491" s="265"/>
      <c r="AU491" s="260"/>
      <c r="AV491" s="260"/>
      <c r="AW491" s="200"/>
      <c r="AX491" s="200"/>
      <c r="AY491" s="200"/>
      <c r="AZ491" s="139">
        <f t="shared" si="222"/>
        <v>1</v>
      </c>
      <c r="BA491" s="200"/>
      <c r="BB491" s="200"/>
      <c r="BC491" s="3"/>
      <c r="BD491" s="95"/>
      <c r="BE491" s="2"/>
    </row>
    <row r="492" spans="2:57" ht="43.9" customHeight="1" x14ac:dyDescent="0.25">
      <c r="B492" s="100">
        <f t="shared" si="218"/>
        <v>474</v>
      </c>
      <c r="C492" s="110" t="s">
        <v>3193</v>
      </c>
      <c r="D492" s="99" t="s">
        <v>33</v>
      </c>
      <c r="E492" s="189">
        <v>44790</v>
      </c>
      <c r="F492" s="268" t="s">
        <v>4438</v>
      </c>
      <c r="G492" s="188" t="s">
        <v>3194</v>
      </c>
      <c r="H492" s="188" t="s">
        <v>3195</v>
      </c>
      <c r="I492" s="96" t="s">
        <v>146</v>
      </c>
      <c r="J492" s="188" t="s">
        <v>3196</v>
      </c>
      <c r="K492" s="351">
        <v>11201470</v>
      </c>
      <c r="L492" s="188" t="s">
        <v>3025</v>
      </c>
      <c r="M492" s="96" t="s">
        <v>3568</v>
      </c>
      <c r="N492" s="96"/>
      <c r="O492" s="194">
        <v>202202937</v>
      </c>
      <c r="P492" s="185">
        <v>12000000</v>
      </c>
      <c r="Q492" s="96" t="s">
        <v>146</v>
      </c>
      <c r="R492" s="96" t="s">
        <v>146</v>
      </c>
      <c r="S492" s="99" t="s">
        <v>146</v>
      </c>
      <c r="T492" s="111" t="s">
        <v>43</v>
      </c>
      <c r="U492" s="96" t="s">
        <v>2849</v>
      </c>
      <c r="V492" s="199">
        <v>44792</v>
      </c>
      <c r="W492" s="186">
        <v>83</v>
      </c>
      <c r="X492" s="99">
        <v>81</v>
      </c>
      <c r="Y492" s="194" t="s">
        <v>1317</v>
      </c>
      <c r="Z492" s="99" t="s">
        <v>168</v>
      </c>
      <c r="AA492" s="99" t="s">
        <v>169</v>
      </c>
      <c r="AB492" s="188" t="s">
        <v>3559</v>
      </c>
      <c r="AC492" s="188"/>
      <c r="AD492" s="199">
        <v>44840</v>
      </c>
      <c r="AE492" s="183" t="s">
        <v>4271</v>
      </c>
      <c r="AF492" s="186">
        <v>50</v>
      </c>
      <c r="AG492" s="186"/>
      <c r="AH492" s="187">
        <v>48</v>
      </c>
      <c r="AI492" s="194" t="s">
        <v>258</v>
      </c>
      <c r="AJ492" s="188" t="s">
        <v>171</v>
      </c>
      <c r="AK492" s="194" t="s">
        <v>3977</v>
      </c>
      <c r="AL492" s="199">
        <v>44818</v>
      </c>
      <c r="AM492" s="204">
        <v>11201470</v>
      </c>
      <c r="AN492" s="194" t="s">
        <v>3978</v>
      </c>
      <c r="AO492" s="194">
        <v>202208435</v>
      </c>
      <c r="AP492" s="181">
        <f t="shared" ref="AP492" si="233">+K492-AM492</f>
        <v>0</v>
      </c>
      <c r="AQ492" s="194" t="s">
        <v>174</v>
      </c>
      <c r="AR492" s="194" t="s">
        <v>175</v>
      </c>
      <c r="AS492" s="203"/>
      <c r="AT492" s="200"/>
      <c r="AU492" s="200"/>
      <c r="AV492" s="260"/>
      <c r="AW492" s="260"/>
      <c r="AX492" s="260"/>
      <c r="AY492" s="167">
        <f>+AP492/K492</f>
        <v>0</v>
      </c>
      <c r="AZ492" s="139">
        <f t="shared" si="222"/>
        <v>1</v>
      </c>
      <c r="BA492" s="139">
        <f>IF(T492="Invitación Privada",1,IF(T492="Invitación Pública",2,0))</f>
        <v>1</v>
      </c>
      <c r="BB492" s="132">
        <f>IF(AA492="CONTRATADO",IF(BA492=1,NETWORKDAYS.INTL(E492,AD492,1,[1]FESTIVOS!$B$3:$B$10)-1,AD492-E492))-BD492</f>
        <v>36</v>
      </c>
      <c r="BD492" s="207">
        <v>0</v>
      </c>
      <c r="BE492" s="208"/>
    </row>
    <row r="493" spans="2:57" ht="43.9" customHeight="1" x14ac:dyDescent="0.25">
      <c r="B493" s="100">
        <f t="shared" si="218"/>
        <v>475</v>
      </c>
      <c r="C493" s="293" t="s">
        <v>3197</v>
      </c>
      <c r="D493" s="265" t="s">
        <v>1559</v>
      </c>
      <c r="E493" s="258">
        <v>44790</v>
      </c>
      <c r="F493" s="268" t="s">
        <v>4438</v>
      </c>
      <c r="G493" s="269" t="s">
        <v>3198</v>
      </c>
      <c r="H493" s="265" t="s">
        <v>3199</v>
      </c>
      <c r="I493" s="265" t="s">
        <v>146</v>
      </c>
      <c r="J493" s="269" t="s">
        <v>3200</v>
      </c>
      <c r="K493" s="342">
        <v>205244893</v>
      </c>
      <c r="L493" s="270"/>
      <c r="M493" s="265" t="s">
        <v>3931</v>
      </c>
      <c r="N493" s="302" t="str">
        <f>MID(M493,5,3)</f>
        <v>IP-</v>
      </c>
      <c r="O493" s="265" t="s">
        <v>3201</v>
      </c>
      <c r="P493" s="271"/>
      <c r="Q493" s="265" t="s">
        <v>146</v>
      </c>
      <c r="R493" s="265" t="s">
        <v>146</v>
      </c>
      <c r="S493" s="265" t="s">
        <v>146</v>
      </c>
      <c r="T493" s="111" t="s">
        <v>43</v>
      </c>
      <c r="U493" s="269" t="s">
        <v>1904</v>
      </c>
      <c r="V493" s="272">
        <v>44792</v>
      </c>
      <c r="W493" s="303" t="e">
        <f t="shared" ref="W493:W517" si="234">+$D$4-E493</f>
        <v>#VALUE!</v>
      </c>
      <c r="X493" s="303" t="e">
        <f t="shared" ref="X493:X517" si="235">$D$4-V493</f>
        <v>#VALUE!</v>
      </c>
      <c r="Y493" s="265"/>
      <c r="Z493" s="265" t="s">
        <v>152</v>
      </c>
      <c r="AA493" s="265" t="s">
        <v>153</v>
      </c>
      <c r="AB493" s="272">
        <v>44904</v>
      </c>
      <c r="AC493" s="304" t="s">
        <v>4330</v>
      </c>
      <c r="AD493" s="272">
        <v>44911</v>
      </c>
      <c r="AE493" s="265"/>
      <c r="AF493" s="305" t="str">
        <f>+IF(AD493="","",TEXT(AD493,"mmm"))</f>
        <v>dic</v>
      </c>
      <c r="AG493" s="306">
        <f t="shared" ref="AG493:AG517" si="236">+AD493-E493</f>
        <v>121</v>
      </c>
      <c r="AH493" s="307">
        <f t="shared" ref="AH493:AH517" si="237">+AD493-V493</f>
        <v>119</v>
      </c>
      <c r="AI493" s="265"/>
      <c r="AJ493" s="265" t="s">
        <v>171</v>
      </c>
      <c r="AK493" s="265"/>
      <c r="AL493" s="265"/>
      <c r="AM493" s="265"/>
      <c r="AN493" s="309"/>
      <c r="AO493" s="269"/>
      <c r="AP493" s="265"/>
      <c r="AQ493" s="309"/>
      <c r="AR493" s="289"/>
      <c r="AS493" s="269"/>
      <c r="AT493" s="265"/>
      <c r="AU493" s="260"/>
      <c r="AV493" s="260"/>
      <c r="AW493" s="200"/>
      <c r="AX493" s="200"/>
      <c r="AY493" s="200"/>
      <c r="AZ493" s="139">
        <f t="shared" si="222"/>
        <v>0</v>
      </c>
      <c r="BA493" s="200"/>
      <c r="BB493" s="200"/>
      <c r="BC493" s="3"/>
      <c r="BD493" s="95"/>
      <c r="BE493" s="2"/>
    </row>
    <row r="494" spans="2:57" ht="43.9" customHeight="1" x14ac:dyDescent="0.25">
      <c r="B494" s="100">
        <f t="shared" si="218"/>
        <v>476</v>
      </c>
      <c r="C494" s="293" t="s">
        <v>3202</v>
      </c>
      <c r="D494" s="312" t="s">
        <v>32</v>
      </c>
      <c r="E494" s="258">
        <v>44790</v>
      </c>
      <c r="F494" s="268" t="s">
        <v>4438</v>
      </c>
      <c r="G494" s="269" t="s">
        <v>3203</v>
      </c>
      <c r="H494" s="265" t="s">
        <v>3204</v>
      </c>
      <c r="I494" s="265" t="s">
        <v>146</v>
      </c>
      <c r="J494" s="269" t="s">
        <v>3205</v>
      </c>
      <c r="K494" s="342">
        <v>736990800</v>
      </c>
      <c r="L494" s="270"/>
      <c r="M494" s="265" t="s">
        <v>3569</v>
      </c>
      <c r="N494" s="302" t="str">
        <f>MID(M494,5,3)</f>
        <v>IP-</v>
      </c>
      <c r="O494" s="265" t="s">
        <v>3206</v>
      </c>
      <c r="P494" s="271"/>
      <c r="Q494" s="265" t="s">
        <v>146</v>
      </c>
      <c r="R494" s="265" t="s">
        <v>146</v>
      </c>
      <c r="S494" s="265" t="s">
        <v>146</v>
      </c>
      <c r="T494" s="111" t="s">
        <v>43</v>
      </c>
      <c r="U494" s="269" t="s">
        <v>1904</v>
      </c>
      <c r="V494" s="272">
        <v>44792</v>
      </c>
      <c r="W494" s="303" t="e">
        <f t="shared" si="234"/>
        <v>#VALUE!</v>
      </c>
      <c r="X494" s="303" t="e">
        <f t="shared" si="235"/>
        <v>#VALUE!</v>
      </c>
      <c r="Y494" s="265"/>
      <c r="Z494" s="265" t="s">
        <v>152</v>
      </c>
      <c r="AA494" s="265" t="s">
        <v>153</v>
      </c>
      <c r="AB494" s="272">
        <v>44911</v>
      </c>
      <c r="AC494" s="304" t="s">
        <v>4331</v>
      </c>
      <c r="AD494" s="272">
        <v>44911</v>
      </c>
      <c r="AE494" s="265"/>
      <c r="AF494" s="305" t="str">
        <f>+IF(AD494="","",TEXT(AD494,"mmm"))</f>
        <v>dic</v>
      </c>
      <c r="AG494" s="306">
        <f t="shared" si="236"/>
        <v>121</v>
      </c>
      <c r="AH494" s="307">
        <f t="shared" si="237"/>
        <v>119</v>
      </c>
      <c r="AI494" s="265"/>
      <c r="AJ494" s="265" t="s">
        <v>155</v>
      </c>
      <c r="AK494" s="265"/>
      <c r="AL494" s="265"/>
      <c r="AM494" s="265"/>
      <c r="AN494" s="309"/>
      <c r="AO494" s="269"/>
      <c r="AP494" s="265"/>
      <c r="AQ494" s="309"/>
      <c r="AR494" s="289"/>
      <c r="AS494" s="269"/>
      <c r="AT494" s="265"/>
      <c r="AU494" s="260"/>
      <c r="AV494" s="260"/>
      <c r="AW494" s="200"/>
      <c r="AX494" s="200"/>
      <c r="AY494" s="200"/>
      <c r="AZ494" s="139">
        <f t="shared" si="222"/>
        <v>1</v>
      </c>
      <c r="BA494" s="200"/>
      <c r="BB494" s="200"/>
      <c r="BC494" s="3"/>
      <c r="BD494" s="95"/>
      <c r="BE494" s="2"/>
    </row>
    <row r="495" spans="2:57" ht="43.9" customHeight="1" x14ac:dyDescent="0.25">
      <c r="B495" s="100">
        <f t="shared" si="218"/>
        <v>477</v>
      </c>
      <c r="C495" s="110" t="s">
        <v>3207</v>
      </c>
      <c r="D495" s="99" t="s">
        <v>32</v>
      </c>
      <c r="E495" s="189">
        <v>44790</v>
      </c>
      <c r="F495" s="268" t="s">
        <v>4438</v>
      </c>
      <c r="G495" s="188" t="s">
        <v>3208</v>
      </c>
      <c r="H495" s="188" t="s">
        <v>3209</v>
      </c>
      <c r="I495" s="96" t="s">
        <v>226</v>
      </c>
      <c r="J495" s="213" t="s">
        <v>3210</v>
      </c>
      <c r="K495" s="351">
        <v>180708116</v>
      </c>
      <c r="L495" s="188" t="s">
        <v>3449</v>
      </c>
      <c r="M495" s="188" t="s">
        <v>146</v>
      </c>
      <c r="N495" s="188"/>
      <c r="O495" s="194">
        <v>202205619</v>
      </c>
      <c r="P495" s="198">
        <v>180708116</v>
      </c>
      <c r="Q495" s="194" t="s">
        <v>146</v>
      </c>
      <c r="R495" s="194" t="s">
        <v>146</v>
      </c>
      <c r="S495" s="99" t="s">
        <v>146</v>
      </c>
      <c r="T495" s="96" t="s">
        <v>230</v>
      </c>
      <c r="U495" s="96" t="s">
        <v>35</v>
      </c>
      <c r="V495" s="199">
        <v>44792</v>
      </c>
      <c r="W495" s="186" t="e">
        <f t="shared" si="234"/>
        <v>#VALUE!</v>
      </c>
      <c r="X495" s="99" t="e">
        <f t="shared" si="235"/>
        <v>#VALUE!</v>
      </c>
      <c r="Y495" s="194" t="s">
        <v>1317</v>
      </c>
      <c r="Z495" s="99" t="s">
        <v>168</v>
      </c>
      <c r="AA495" s="99" t="s">
        <v>169</v>
      </c>
      <c r="AB495" s="194"/>
      <c r="AC495" s="194"/>
      <c r="AD495" s="199">
        <v>44818</v>
      </c>
      <c r="AE495" s="183" t="s">
        <v>4262</v>
      </c>
      <c r="AF495" s="183"/>
      <c r="AG495" s="186">
        <f t="shared" si="236"/>
        <v>28</v>
      </c>
      <c r="AH495" s="187">
        <f t="shared" si="237"/>
        <v>26</v>
      </c>
      <c r="AI495" s="194" t="s">
        <v>146</v>
      </c>
      <c r="AJ495" s="188" t="s">
        <v>155</v>
      </c>
      <c r="AK495" s="188" t="s">
        <v>3816</v>
      </c>
      <c r="AL495" s="199">
        <v>44805</v>
      </c>
      <c r="AM495" s="204">
        <v>180708116</v>
      </c>
      <c r="AN495" s="188" t="s">
        <v>3817</v>
      </c>
      <c r="AO495" s="194">
        <v>202208293</v>
      </c>
      <c r="AP495" s="181">
        <f t="shared" ref="AP495:AP496" si="238">+K495-AM495</f>
        <v>0</v>
      </c>
      <c r="AQ495" s="193"/>
      <c r="AR495" s="193"/>
      <c r="AS495" s="194"/>
      <c r="AT495" s="194"/>
      <c r="AU495" s="193"/>
      <c r="AV495" s="194" t="s">
        <v>1001</v>
      </c>
      <c r="AW495" s="194" t="s">
        <v>1002</v>
      </c>
      <c r="AX495" s="193"/>
      <c r="AY495" s="167">
        <f t="shared" ref="AY495:AY496" si="239">+AP495/K495</f>
        <v>0</v>
      </c>
      <c r="AZ495" s="139">
        <f t="shared" si="222"/>
        <v>1</v>
      </c>
      <c r="BA495" s="139">
        <f>IF(T495="Invitación Privada",1,IF(T495="Invitación Pública",2,0))</f>
        <v>0</v>
      </c>
      <c r="BB495" s="132">
        <f>IF(AA495="CONTRATADO",IF(BA495=1,NETWORKDAYS.INTL(E495,AD495,1,[1]FESTIVOS!$B$3:$B$10)-1,AD495-E495))-BD495</f>
        <v>28</v>
      </c>
    </row>
    <row r="496" spans="2:57" ht="43.9" customHeight="1" x14ac:dyDescent="0.25">
      <c r="B496" s="100">
        <f t="shared" si="218"/>
        <v>478</v>
      </c>
      <c r="C496" s="293" t="s">
        <v>3211</v>
      </c>
      <c r="D496" s="312" t="s">
        <v>32</v>
      </c>
      <c r="E496" s="189">
        <v>44791</v>
      </c>
      <c r="F496" s="268" t="s">
        <v>4438</v>
      </c>
      <c r="G496" s="269" t="s">
        <v>3932</v>
      </c>
      <c r="H496" s="265" t="s">
        <v>1676</v>
      </c>
      <c r="I496" s="265" t="s">
        <v>146</v>
      </c>
      <c r="J496" s="269" t="s">
        <v>1677</v>
      </c>
      <c r="K496" s="342">
        <v>886776000</v>
      </c>
      <c r="L496" s="203"/>
      <c r="M496" s="265" t="s">
        <v>3570</v>
      </c>
      <c r="N496" s="302" t="str">
        <f t="shared" ref="N496:N501" si="240">MID(M496,5,3)</f>
        <v>IP-</v>
      </c>
      <c r="O496" s="265">
        <v>202202877</v>
      </c>
      <c r="P496" s="317"/>
      <c r="Q496" s="265" t="s">
        <v>146</v>
      </c>
      <c r="R496" s="265" t="s">
        <v>146</v>
      </c>
      <c r="S496" s="265" t="s">
        <v>146</v>
      </c>
      <c r="T496" s="111" t="s">
        <v>43</v>
      </c>
      <c r="U496" s="269" t="s">
        <v>1904</v>
      </c>
      <c r="V496" s="272">
        <v>44791</v>
      </c>
      <c r="W496" s="303" t="e">
        <f t="shared" si="234"/>
        <v>#VALUE!</v>
      </c>
      <c r="X496" s="303" t="e">
        <f t="shared" si="235"/>
        <v>#VALUE!</v>
      </c>
      <c r="Y496" s="265"/>
      <c r="Z496" s="265" t="s">
        <v>168</v>
      </c>
      <c r="AA496" s="265" t="s">
        <v>169</v>
      </c>
      <c r="AB496" s="272">
        <v>44911</v>
      </c>
      <c r="AC496" s="304" t="s">
        <v>4084</v>
      </c>
      <c r="AD496" s="272">
        <v>44907</v>
      </c>
      <c r="AE496" s="272" t="s">
        <v>4264</v>
      </c>
      <c r="AF496" s="305" t="str">
        <f t="shared" ref="AF496:AF501" si="241">+IF(AD496="","",TEXT(AD496,"mmm"))</f>
        <v>dic</v>
      </c>
      <c r="AG496" s="306">
        <f t="shared" si="236"/>
        <v>116</v>
      </c>
      <c r="AH496" s="307">
        <f t="shared" si="237"/>
        <v>116</v>
      </c>
      <c r="AI496" s="265" t="s">
        <v>258</v>
      </c>
      <c r="AJ496" s="265" t="s">
        <v>155</v>
      </c>
      <c r="AK496" s="265" t="s">
        <v>4243</v>
      </c>
      <c r="AL496" s="272">
        <v>44901</v>
      </c>
      <c r="AM496" s="309">
        <v>882875280</v>
      </c>
      <c r="AN496" s="269" t="s">
        <v>4244</v>
      </c>
      <c r="AO496" s="265">
        <v>202208815</v>
      </c>
      <c r="AP496" s="181">
        <f t="shared" si="238"/>
        <v>3900720</v>
      </c>
      <c r="AQ496" s="200"/>
      <c r="AR496" s="203"/>
      <c r="AS496" s="194"/>
      <c r="AT496" s="193"/>
      <c r="AU496" s="200"/>
      <c r="AV496" s="194"/>
      <c r="AW496" s="194"/>
      <c r="AX496" s="193"/>
      <c r="AY496" s="167">
        <f t="shared" si="239"/>
        <v>4.3987658664645865E-3</v>
      </c>
      <c r="AZ496" s="139">
        <f t="shared" si="222"/>
        <v>1</v>
      </c>
      <c r="BA496" s="139">
        <f>IF(T496="Invitación Privada",1,IF(T496="Invitación Pública",2,0))</f>
        <v>1</v>
      </c>
      <c r="BB496" s="132">
        <f>IF(AA496="CONTRATADO",IF(BA496=1,NETWORKDAYS.INTL(E496,AD496,1,[1]FESTIVOS!$B$3:$B$10)-1,AD496-E496))-BD496</f>
        <v>55</v>
      </c>
      <c r="BD496" s="3">
        <v>27</v>
      </c>
      <c r="BE496" s="95" t="s">
        <v>4229</v>
      </c>
    </row>
    <row r="497" spans="2:57" ht="43.9" customHeight="1" x14ac:dyDescent="0.25">
      <c r="B497" s="100">
        <f t="shared" si="218"/>
        <v>479</v>
      </c>
      <c r="C497" s="293" t="s">
        <v>3212</v>
      </c>
      <c r="D497" s="312" t="s">
        <v>32</v>
      </c>
      <c r="E497" s="258">
        <v>44791</v>
      </c>
      <c r="F497" s="268" t="s">
        <v>4438</v>
      </c>
      <c r="G497" s="269" t="s">
        <v>3213</v>
      </c>
      <c r="H497" s="265" t="s">
        <v>3214</v>
      </c>
      <c r="I497" s="265" t="s">
        <v>146</v>
      </c>
      <c r="J497" s="269" t="s">
        <v>3215</v>
      </c>
      <c r="K497" s="342">
        <v>9191539</v>
      </c>
      <c r="L497" s="270"/>
      <c r="M497" s="265" t="s">
        <v>3571</v>
      </c>
      <c r="N497" s="302" t="str">
        <f t="shared" si="240"/>
        <v>IP-</v>
      </c>
      <c r="O497" s="265">
        <v>202205584</v>
      </c>
      <c r="P497" s="271"/>
      <c r="Q497" s="265" t="s">
        <v>146</v>
      </c>
      <c r="R497" s="265" t="s">
        <v>146</v>
      </c>
      <c r="S497" s="265" t="s">
        <v>146</v>
      </c>
      <c r="T497" s="111" t="s">
        <v>43</v>
      </c>
      <c r="U497" s="269" t="s">
        <v>2849</v>
      </c>
      <c r="V497" s="272">
        <v>44792</v>
      </c>
      <c r="W497" s="303" t="e">
        <f t="shared" si="234"/>
        <v>#VALUE!</v>
      </c>
      <c r="X497" s="303" t="e">
        <f t="shared" si="235"/>
        <v>#VALUE!</v>
      </c>
      <c r="Y497" s="265" t="s">
        <v>1300</v>
      </c>
      <c r="Z497" s="265" t="s">
        <v>214</v>
      </c>
      <c r="AA497" s="265" t="s">
        <v>215</v>
      </c>
      <c r="AB497" s="265"/>
      <c r="AC497" s="304" t="s">
        <v>3925</v>
      </c>
      <c r="AD497" s="272">
        <v>44832</v>
      </c>
      <c r="AE497" s="272"/>
      <c r="AF497" s="305" t="str">
        <f t="shared" si="241"/>
        <v>sep</v>
      </c>
      <c r="AG497" s="306">
        <f t="shared" si="236"/>
        <v>41</v>
      </c>
      <c r="AH497" s="307">
        <f t="shared" si="237"/>
        <v>40</v>
      </c>
      <c r="AI497" s="265" t="s">
        <v>258</v>
      </c>
      <c r="AJ497" s="265" t="s">
        <v>171</v>
      </c>
      <c r="AK497" s="265"/>
      <c r="AL497" s="265"/>
      <c r="AM497" s="309"/>
      <c r="AN497" s="269"/>
      <c r="AO497" s="265"/>
      <c r="AP497" s="309"/>
      <c r="AQ497" s="289"/>
      <c r="AR497" s="269"/>
      <c r="AS497" s="265"/>
      <c r="AT497" s="260"/>
      <c r="AU497" s="260"/>
      <c r="AV497" s="200"/>
      <c r="AW497" s="200"/>
      <c r="AX497" s="200"/>
      <c r="AY497" s="200"/>
      <c r="AZ497" s="139">
        <f t="shared" si="222"/>
        <v>1</v>
      </c>
      <c r="BA497" s="200"/>
      <c r="BB497" s="203"/>
      <c r="BC497" s="95"/>
      <c r="BD497" s="2"/>
      <c r="BE497" s="2"/>
    </row>
    <row r="498" spans="2:57" ht="43.9" customHeight="1" x14ac:dyDescent="0.25">
      <c r="B498" s="100">
        <f t="shared" si="218"/>
        <v>480</v>
      </c>
      <c r="C498" s="293" t="s">
        <v>3216</v>
      </c>
      <c r="D498" s="312" t="s">
        <v>32</v>
      </c>
      <c r="E498" s="258">
        <v>44791</v>
      </c>
      <c r="F498" s="268" t="s">
        <v>4438</v>
      </c>
      <c r="G498" s="269" t="s">
        <v>2624</v>
      </c>
      <c r="H498" s="265" t="s">
        <v>3217</v>
      </c>
      <c r="I498" s="265" t="s">
        <v>146</v>
      </c>
      <c r="J498" s="269" t="s">
        <v>3218</v>
      </c>
      <c r="K498" s="342">
        <v>8045091691</v>
      </c>
      <c r="L498" s="288"/>
      <c r="M498" s="265" t="s">
        <v>3572</v>
      </c>
      <c r="N498" s="302" t="str">
        <f t="shared" si="240"/>
        <v>IP-</v>
      </c>
      <c r="O498" s="265">
        <v>202204413</v>
      </c>
      <c r="P498" s="271"/>
      <c r="Q498" s="265"/>
      <c r="R498" s="265"/>
      <c r="S498" s="265" t="s">
        <v>146</v>
      </c>
      <c r="T498" s="111" t="s">
        <v>43</v>
      </c>
      <c r="U498" s="269" t="s">
        <v>187</v>
      </c>
      <c r="V498" s="272">
        <v>44792</v>
      </c>
      <c r="W498" s="303" t="e">
        <f t="shared" si="234"/>
        <v>#VALUE!</v>
      </c>
      <c r="X498" s="303" t="e">
        <f t="shared" si="235"/>
        <v>#VALUE!</v>
      </c>
      <c r="Y498" s="265"/>
      <c r="Z498" s="265" t="s">
        <v>152</v>
      </c>
      <c r="AA498" s="265" t="s">
        <v>153</v>
      </c>
      <c r="AB498" s="272">
        <v>44895</v>
      </c>
      <c r="AC498" s="304" t="s">
        <v>4015</v>
      </c>
      <c r="AD498" s="272">
        <v>44895</v>
      </c>
      <c r="AE498" s="265"/>
      <c r="AF498" s="305" t="str">
        <f t="shared" si="241"/>
        <v>nov</v>
      </c>
      <c r="AG498" s="306">
        <f t="shared" si="236"/>
        <v>104</v>
      </c>
      <c r="AH498" s="307">
        <f t="shared" si="237"/>
        <v>103</v>
      </c>
      <c r="AI498" s="265" t="s">
        <v>3573</v>
      </c>
      <c r="AJ498" s="320" t="s">
        <v>155</v>
      </c>
      <c r="AK498" s="265"/>
      <c r="AL498" s="265"/>
      <c r="AM498" s="265"/>
      <c r="AN498" s="309"/>
      <c r="AO498" s="269"/>
      <c r="AP498" s="265"/>
      <c r="AQ498" s="309"/>
      <c r="AR498" s="289"/>
      <c r="AS498" s="269"/>
      <c r="AT498" s="265"/>
      <c r="AU498" s="260"/>
      <c r="AV498" s="260"/>
      <c r="AW498" s="200"/>
      <c r="AX498" s="200"/>
      <c r="AY498" s="200"/>
      <c r="AZ498" s="139">
        <f t="shared" si="222"/>
        <v>1</v>
      </c>
      <c r="BA498" s="200"/>
      <c r="BB498" s="200"/>
      <c r="BC498" s="3"/>
      <c r="BD498" s="95"/>
      <c r="BE498" s="2"/>
    </row>
    <row r="499" spans="2:57" ht="43.9" customHeight="1" x14ac:dyDescent="0.25">
      <c r="B499" s="100">
        <f t="shared" si="218"/>
        <v>481</v>
      </c>
      <c r="C499" s="293" t="s">
        <v>3219</v>
      </c>
      <c r="D499" s="265" t="s">
        <v>3220</v>
      </c>
      <c r="E499" s="258">
        <v>44792</v>
      </c>
      <c r="F499" s="268" t="s">
        <v>4438</v>
      </c>
      <c r="G499" s="269" t="s">
        <v>3221</v>
      </c>
      <c r="H499" s="265" t="s">
        <v>3222</v>
      </c>
      <c r="I499" s="265" t="s">
        <v>146</v>
      </c>
      <c r="J499" s="269" t="s">
        <v>3223</v>
      </c>
      <c r="K499" s="342">
        <v>43500000</v>
      </c>
      <c r="L499" s="270"/>
      <c r="M499" s="265"/>
      <c r="N499" s="302" t="str">
        <f t="shared" si="240"/>
        <v/>
      </c>
      <c r="O499" s="265">
        <v>202201388</v>
      </c>
      <c r="P499" s="271"/>
      <c r="Q499" s="265"/>
      <c r="R499" s="265"/>
      <c r="S499" s="265" t="s">
        <v>146</v>
      </c>
      <c r="T499" s="280" t="str">
        <f>(IF(N499="IPU","INVITACION PUBLICA",(IF(N499="IP-","INVITACION PRIVADA"," "))))</f>
        <v xml:space="preserve"> </v>
      </c>
      <c r="U499" s="269" t="s">
        <v>1326</v>
      </c>
      <c r="V499" s="265"/>
      <c r="W499" s="303" t="e">
        <f t="shared" si="234"/>
        <v>#VALUE!</v>
      </c>
      <c r="X499" s="303" t="e">
        <f t="shared" si="235"/>
        <v>#VALUE!</v>
      </c>
      <c r="Y499" s="265" t="s">
        <v>1300</v>
      </c>
      <c r="Z499" s="265" t="s">
        <v>214</v>
      </c>
      <c r="AA499" s="265" t="s">
        <v>215</v>
      </c>
      <c r="AB499" s="265"/>
      <c r="AC499" s="304"/>
      <c r="AD499" s="272">
        <v>44880</v>
      </c>
      <c r="AE499" s="265"/>
      <c r="AF499" s="305" t="str">
        <f t="shared" si="241"/>
        <v>nov</v>
      </c>
      <c r="AG499" s="306">
        <f t="shared" si="236"/>
        <v>88</v>
      </c>
      <c r="AH499" s="307">
        <f t="shared" si="237"/>
        <v>44880</v>
      </c>
      <c r="AI499" s="265"/>
      <c r="AJ499" s="265" t="s">
        <v>171</v>
      </c>
      <c r="AK499" s="265"/>
      <c r="AL499" s="265"/>
      <c r="AM499" s="309"/>
      <c r="AN499" s="269"/>
      <c r="AO499" s="265"/>
      <c r="AP499" s="309"/>
      <c r="AQ499" s="289"/>
      <c r="AR499" s="269"/>
      <c r="AS499" s="265"/>
      <c r="AT499" s="260"/>
      <c r="AU499" s="260"/>
      <c r="AV499" s="200"/>
      <c r="AW499" s="200"/>
      <c r="AX499" s="200"/>
      <c r="AY499" s="200"/>
      <c r="AZ499" s="139">
        <f t="shared" si="222"/>
        <v>0</v>
      </c>
      <c r="BA499" s="200"/>
      <c r="BB499" s="203"/>
      <c r="BC499" s="95"/>
      <c r="BD499" s="2"/>
      <c r="BE499" s="2"/>
    </row>
    <row r="500" spans="2:57" ht="43.9" customHeight="1" x14ac:dyDescent="0.25">
      <c r="B500" s="100">
        <f t="shared" si="218"/>
        <v>482</v>
      </c>
      <c r="C500" s="293" t="s">
        <v>3224</v>
      </c>
      <c r="D500" s="312" t="s">
        <v>32</v>
      </c>
      <c r="E500" s="258">
        <v>44792</v>
      </c>
      <c r="F500" s="268" t="s">
        <v>4438</v>
      </c>
      <c r="G500" s="269" t="s">
        <v>3225</v>
      </c>
      <c r="H500" s="265" t="s">
        <v>3226</v>
      </c>
      <c r="I500" s="265" t="s">
        <v>146</v>
      </c>
      <c r="J500" s="269" t="s">
        <v>3227</v>
      </c>
      <c r="K500" s="342">
        <v>62237000</v>
      </c>
      <c r="L500" s="270"/>
      <c r="M500" s="265" t="s">
        <v>3574</v>
      </c>
      <c r="N500" s="302" t="str">
        <f t="shared" si="240"/>
        <v>IP-</v>
      </c>
      <c r="O500" s="265">
        <v>202205607</v>
      </c>
      <c r="P500" s="271"/>
      <c r="Q500" s="265" t="s">
        <v>146</v>
      </c>
      <c r="R500" s="265" t="s">
        <v>146</v>
      </c>
      <c r="S500" s="265" t="s">
        <v>146</v>
      </c>
      <c r="T500" s="111" t="s">
        <v>43</v>
      </c>
      <c r="U500" s="269" t="s">
        <v>2941</v>
      </c>
      <c r="V500" s="272">
        <v>44795</v>
      </c>
      <c r="W500" s="303" t="e">
        <f t="shared" si="234"/>
        <v>#VALUE!</v>
      </c>
      <c r="X500" s="303" t="e">
        <f t="shared" si="235"/>
        <v>#VALUE!</v>
      </c>
      <c r="Y500" s="265"/>
      <c r="Z500" s="265" t="s">
        <v>152</v>
      </c>
      <c r="AA500" s="265" t="s">
        <v>153</v>
      </c>
      <c r="AB500" s="272">
        <v>44895</v>
      </c>
      <c r="AC500" s="304" t="s">
        <v>4016</v>
      </c>
      <c r="AD500" s="272">
        <v>44895</v>
      </c>
      <c r="AE500" s="265"/>
      <c r="AF500" s="305" t="str">
        <f t="shared" si="241"/>
        <v>nov</v>
      </c>
      <c r="AG500" s="306">
        <f t="shared" si="236"/>
        <v>103</v>
      </c>
      <c r="AH500" s="307">
        <f t="shared" si="237"/>
        <v>100</v>
      </c>
      <c r="AI500" s="265" t="s">
        <v>258</v>
      </c>
      <c r="AJ500" s="265" t="s">
        <v>155</v>
      </c>
      <c r="AK500" s="265"/>
      <c r="AL500" s="265"/>
      <c r="AM500" s="265"/>
      <c r="AN500" s="309"/>
      <c r="AO500" s="269"/>
      <c r="AP500" s="265"/>
      <c r="AQ500" s="309"/>
      <c r="AR500" s="289"/>
      <c r="AS500" s="269"/>
      <c r="AT500" s="265"/>
      <c r="AU500" s="260"/>
      <c r="AV500" s="260"/>
      <c r="AW500" s="200"/>
      <c r="AX500" s="200"/>
      <c r="AY500" s="200"/>
      <c r="AZ500" s="139">
        <f t="shared" si="222"/>
        <v>1</v>
      </c>
      <c r="BA500" s="200"/>
      <c r="BB500" s="200"/>
      <c r="BC500" s="3"/>
      <c r="BD500" s="95"/>
      <c r="BE500" s="2"/>
    </row>
    <row r="501" spans="2:57" ht="43.9" customHeight="1" x14ac:dyDescent="0.25">
      <c r="B501" s="100">
        <f t="shared" si="218"/>
        <v>483</v>
      </c>
      <c r="C501" s="267" t="s">
        <v>3228</v>
      </c>
      <c r="D501" s="265" t="s">
        <v>32</v>
      </c>
      <c r="E501" s="189">
        <v>44792</v>
      </c>
      <c r="F501" s="268" t="s">
        <v>4438</v>
      </c>
      <c r="G501" s="269" t="s">
        <v>3229</v>
      </c>
      <c r="H501" s="269" t="s">
        <v>3230</v>
      </c>
      <c r="I501" s="269" t="s">
        <v>146</v>
      </c>
      <c r="J501" s="269" t="s">
        <v>3231</v>
      </c>
      <c r="K501" s="352">
        <v>3293920</v>
      </c>
      <c r="L501" s="270"/>
      <c r="M501" s="269" t="s">
        <v>3575</v>
      </c>
      <c r="N501" s="279" t="str">
        <f t="shared" si="240"/>
        <v>IP-</v>
      </c>
      <c r="O501" s="265">
        <v>202202582</v>
      </c>
      <c r="P501" s="271">
        <v>23526300</v>
      </c>
      <c r="Q501" s="269" t="s">
        <v>146</v>
      </c>
      <c r="R501" s="269" t="s">
        <v>146</v>
      </c>
      <c r="S501" s="265" t="s">
        <v>146</v>
      </c>
      <c r="T501" s="111" t="s">
        <v>43</v>
      </c>
      <c r="U501" s="269" t="s">
        <v>2941</v>
      </c>
      <c r="V501" s="272">
        <v>44795</v>
      </c>
      <c r="W501" s="266" t="e">
        <f t="shared" si="234"/>
        <v>#VALUE!</v>
      </c>
      <c r="X501" s="266" t="e">
        <f t="shared" si="235"/>
        <v>#VALUE!</v>
      </c>
      <c r="Y501" s="265" t="s">
        <v>1317</v>
      </c>
      <c r="Z501" s="269" t="s">
        <v>1327</v>
      </c>
      <c r="AA501" s="269" t="s">
        <v>169</v>
      </c>
      <c r="AB501" s="269"/>
      <c r="AC501" s="269" t="s">
        <v>3549</v>
      </c>
      <c r="AD501" s="272">
        <v>44873</v>
      </c>
      <c r="AE501" s="273" t="s">
        <v>4274</v>
      </c>
      <c r="AF501" s="273" t="str">
        <f t="shared" si="241"/>
        <v>nov</v>
      </c>
      <c r="AG501" s="274">
        <f t="shared" si="236"/>
        <v>81</v>
      </c>
      <c r="AH501" s="275">
        <f t="shared" si="237"/>
        <v>78</v>
      </c>
      <c r="AI501" s="265" t="s">
        <v>258</v>
      </c>
      <c r="AJ501" s="269" t="s">
        <v>171</v>
      </c>
      <c r="AK501" s="265" t="s">
        <v>4226</v>
      </c>
      <c r="AL501" s="272">
        <v>44819</v>
      </c>
      <c r="AM501" s="276">
        <v>2814350</v>
      </c>
      <c r="AN501" s="269" t="s">
        <v>4227</v>
      </c>
      <c r="AO501" s="265">
        <v>202208497</v>
      </c>
      <c r="AP501" s="181">
        <f t="shared" ref="AP501:AP502" si="242">+K501-AM501</f>
        <v>479570</v>
      </c>
      <c r="AQ501" s="277"/>
      <c r="AR501" s="265"/>
      <c r="AS501" s="265"/>
      <c r="AT501" s="200"/>
      <c r="AU501" s="200"/>
      <c r="AV501" s="260"/>
      <c r="AW501" s="260"/>
      <c r="AX501" s="260"/>
      <c r="AY501" s="167">
        <f t="shared" ref="AY501:AY502" si="243">+AP501/K501</f>
        <v>0.14559248554913296</v>
      </c>
      <c r="AZ501" s="139">
        <f t="shared" si="222"/>
        <v>1</v>
      </c>
      <c r="BA501" s="139">
        <f>IF(T501="Invitación Privada",1,IF(T501="Invitación Pública",2,0))</f>
        <v>1</v>
      </c>
      <c r="BB501" s="132">
        <f>IF(AA501="CONTRATADO",IF(BA501=1,NETWORKDAYS.INTL(E501,AD501,1,[1]FESTIVOS!$B$3:$B$10)-1,AD501-E501))-BD501</f>
        <v>30</v>
      </c>
      <c r="BD501" s="3">
        <v>27</v>
      </c>
      <c r="BE501" s="95" t="s">
        <v>4229</v>
      </c>
    </row>
    <row r="502" spans="2:57" ht="43.9" customHeight="1" x14ac:dyDescent="0.25">
      <c r="B502" s="100">
        <f t="shared" si="218"/>
        <v>484</v>
      </c>
      <c r="C502" s="110" t="s">
        <v>3497</v>
      </c>
      <c r="D502" s="99" t="s">
        <v>28</v>
      </c>
      <c r="E502" s="189">
        <v>44792</v>
      </c>
      <c r="F502" s="268" t="s">
        <v>4438</v>
      </c>
      <c r="G502" s="188" t="s">
        <v>3498</v>
      </c>
      <c r="H502" s="188" t="s">
        <v>3499</v>
      </c>
      <c r="I502" s="96" t="s">
        <v>146</v>
      </c>
      <c r="J502" s="213" t="s">
        <v>3500</v>
      </c>
      <c r="K502" s="351">
        <v>499663409</v>
      </c>
      <c r="L502" s="194" t="s">
        <v>3484</v>
      </c>
      <c r="M502" s="188" t="s">
        <v>3501</v>
      </c>
      <c r="N502" s="188"/>
      <c r="O502" s="194">
        <v>202202781</v>
      </c>
      <c r="P502" s="185"/>
      <c r="Q502" s="96" t="s">
        <v>146</v>
      </c>
      <c r="R502" s="96" t="s">
        <v>146</v>
      </c>
      <c r="S502" s="99" t="s">
        <v>146</v>
      </c>
      <c r="T502" s="111" t="s">
        <v>43</v>
      </c>
      <c r="U502" s="96" t="s">
        <v>187</v>
      </c>
      <c r="V502" s="199">
        <v>44796</v>
      </c>
      <c r="W502" s="186" t="e">
        <f t="shared" si="234"/>
        <v>#VALUE!</v>
      </c>
      <c r="X502" s="99" t="e">
        <f t="shared" si="235"/>
        <v>#VALUE!</v>
      </c>
      <c r="Y502" s="194" t="s">
        <v>1317</v>
      </c>
      <c r="Z502" s="99" t="s">
        <v>168</v>
      </c>
      <c r="AA502" s="99" t="s">
        <v>169</v>
      </c>
      <c r="AB502" s="188"/>
      <c r="AC502" s="194"/>
      <c r="AD502" s="199">
        <v>44816</v>
      </c>
      <c r="AE502" s="183" t="s">
        <v>4262</v>
      </c>
      <c r="AF502" s="183"/>
      <c r="AG502" s="186">
        <f t="shared" si="236"/>
        <v>24</v>
      </c>
      <c r="AH502" s="187">
        <f t="shared" si="237"/>
        <v>20</v>
      </c>
      <c r="AI502" s="194" t="s">
        <v>258</v>
      </c>
      <c r="AJ502" s="188" t="s">
        <v>155</v>
      </c>
      <c r="AK502" s="194" t="s">
        <v>3818</v>
      </c>
      <c r="AL502" s="199">
        <v>44809</v>
      </c>
      <c r="AM502" s="204">
        <v>492417782</v>
      </c>
      <c r="AN502" s="188" t="s">
        <v>3819</v>
      </c>
      <c r="AO502" s="194">
        <v>202208321</v>
      </c>
      <c r="AP502" s="181">
        <f t="shared" si="242"/>
        <v>7245627</v>
      </c>
      <c r="AQ502" s="193"/>
      <c r="AR502" s="193"/>
      <c r="AS502" s="194"/>
      <c r="AT502" s="194"/>
      <c r="AU502" s="193"/>
      <c r="AV502" s="194" t="s">
        <v>3820</v>
      </c>
      <c r="AW502" s="194" t="s">
        <v>1002</v>
      </c>
      <c r="AX502" s="193"/>
      <c r="AY502" s="167">
        <f t="shared" si="243"/>
        <v>1.4501015822833647E-2</v>
      </c>
      <c r="AZ502" s="139">
        <f t="shared" si="222"/>
        <v>1</v>
      </c>
      <c r="BA502" s="139">
        <f>IF(T502="Invitación Privada",1,IF(T502="Invitación Pública",2,0))</f>
        <v>1</v>
      </c>
      <c r="BB502" s="132">
        <f>IF(AA502="CONTRATADO",IF(BA502=1,NETWORKDAYS.INTL(E502,AD502,1,[1]FESTIVOS!$B$3:$B$10)-1,AD502-E502))-BD502</f>
        <v>16</v>
      </c>
    </row>
    <row r="503" spans="2:57" ht="43.9" customHeight="1" x14ac:dyDescent="0.25">
      <c r="B503" s="100">
        <f t="shared" si="218"/>
        <v>485</v>
      </c>
      <c r="C503" s="293" t="s">
        <v>3232</v>
      </c>
      <c r="D503" s="265" t="s">
        <v>359</v>
      </c>
      <c r="E503" s="258">
        <v>44795</v>
      </c>
      <c r="F503" s="268" t="s">
        <v>4438</v>
      </c>
      <c r="G503" s="269" t="s">
        <v>3233</v>
      </c>
      <c r="H503" s="265" t="s">
        <v>3234</v>
      </c>
      <c r="I503" s="265" t="s">
        <v>146</v>
      </c>
      <c r="J503" s="269" t="s">
        <v>3235</v>
      </c>
      <c r="K503" s="342">
        <v>177488500</v>
      </c>
      <c r="L503" s="270"/>
      <c r="M503" s="265"/>
      <c r="N503" s="302" t="str">
        <f>MID(M503,5,3)</f>
        <v/>
      </c>
      <c r="O503" s="265">
        <v>202205631</v>
      </c>
      <c r="P503" s="271"/>
      <c r="Q503" s="265"/>
      <c r="R503" s="265"/>
      <c r="S503" s="265" t="s">
        <v>146</v>
      </c>
      <c r="T503" s="280" t="str">
        <f>(IF(N503="IPU","INVITACION PUBLICA",(IF(N503="IP-","INVITACION PRIVADA"," "))))</f>
        <v xml:space="preserve"> </v>
      </c>
      <c r="U503" s="269" t="s">
        <v>2849</v>
      </c>
      <c r="V503" s="265"/>
      <c r="W503" s="303" t="e">
        <f t="shared" si="234"/>
        <v>#VALUE!</v>
      </c>
      <c r="X503" s="303" t="e">
        <f t="shared" si="235"/>
        <v>#VALUE!</v>
      </c>
      <c r="Y503" s="265" t="s">
        <v>1300</v>
      </c>
      <c r="Z503" s="265" t="s">
        <v>214</v>
      </c>
      <c r="AA503" s="265" t="s">
        <v>215</v>
      </c>
      <c r="AB503" s="265"/>
      <c r="AC503" s="304"/>
      <c r="AD503" s="272">
        <v>44812</v>
      </c>
      <c r="AE503" s="265"/>
      <c r="AF503" s="305" t="str">
        <f>+IF(AD503="","",TEXT(AD503,"mmm"))</f>
        <v>sep</v>
      </c>
      <c r="AG503" s="306">
        <f t="shared" si="236"/>
        <v>17</v>
      </c>
      <c r="AH503" s="307">
        <f t="shared" si="237"/>
        <v>44812</v>
      </c>
      <c r="AI503" s="265"/>
      <c r="AJ503" s="265" t="s">
        <v>171</v>
      </c>
      <c r="AK503" s="265"/>
      <c r="AL503" s="265"/>
      <c r="AM503" s="309"/>
      <c r="AN503" s="269"/>
      <c r="AO503" s="265"/>
      <c r="AP503" s="309"/>
      <c r="AQ503" s="289"/>
      <c r="AR503" s="269"/>
      <c r="AS503" s="265"/>
      <c r="AT503" s="260"/>
      <c r="AU503" s="260"/>
      <c r="AV503" s="200"/>
      <c r="AW503" s="200"/>
      <c r="AX503" s="200"/>
      <c r="AY503" s="200"/>
      <c r="AZ503" s="139">
        <f t="shared" si="222"/>
        <v>0</v>
      </c>
      <c r="BA503" s="200"/>
      <c r="BB503" s="203"/>
      <c r="BC503" s="95"/>
      <c r="BD503" s="2"/>
      <c r="BE503" s="2"/>
    </row>
    <row r="504" spans="2:57" ht="43.9" customHeight="1" x14ac:dyDescent="0.25">
      <c r="B504" s="100">
        <f t="shared" si="218"/>
        <v>486</v>
      </c>
      <c r="C504" s="110" t="s">
        <v>3236</v>
      </c>
      <c r="D504" s="99" t="s">
        <v>332</v>
      </c>
      <c r="E504" s="189">
        <v>44796</v>
      </c>
      <c r="F504" s="268" t="s">
        <v>4438</v>
      </c>
      <c r="G504" s="188" t="s">
        <v>832</v>
      </c>
      <c r="H504" s="188" t="s">
        <v>3237</v>
      </c>
      <c r="I504" s="96" t="s">
        <v>146</v>
      </c>
      <c r="J504" s="213" t="s">
        <v>3238</v>
      </c>
      <c r="K504" s="351">
        <v>13301761</v>
      </c>
      <c r="L504" s="194" t="s">
        <v>3742</v>
      </c>
      <c r="M504" s="188" t="s">
        <v>3821</v>
      </c>
      <c r="N504" s="188"/>
      <c r="O504" s="194">
        <v>202201822</v>
      </c>
      <c r="P504" s="185"/>
      <c r="Q504" s="96" t="s">
        <v>146</v>
      </c>
      <c r="R504" s="96" t="s">
        <v>146</v>
      </c>
      <c r="S504" s="99" t="s">
        <v>146</v>
      </c>
      <c r="T504" s="111" t="s">
        <v>43</v>
      </c>
      <c r="U504" s="96" t="s">
        <v>3822</v>
      </c>
      <c r="V504" s="199">
        <v>44802</v>
      </c>
      <c r="W504" s="186" t="e">
        <f t="shared" si="234"/>
        <v>#VALUE!</v>
      </c>
      <c r="X504" s="99" t="e">
        <f t="shared" si="235"/>
        <v>#VALUE!</v>
      </c>
      <c r="Y504" s="194" t="s">
        <v>1317</v>
      </c>
      <c r="Z504" s="99" t="s">
        <v>168</v>
      </c>
      <c r="AA504" s="99" t="s">
        <v>169</v>
      </c>
      <c r="AB504" s="188"/>
      <c r="AC504" s="194"/>
      <c r="AD504" s="199">
        <v>44831</v>
      </c>
      <c r="AE504" s="183" t="s">
        <v>4262</v>
      </c>
      <c r="AF504" s="183"/>
      <c r="AG504" s="186">
        <f t="shared" si="236"/>
        <v>35</v>
      </c>
      <c r="AH504" s="187">
        <f t="shared" si="237"/>
        <v>29</v>
      </c>
      <c r="AI504" s="194" t="s">
        <v>258</v>
      </c>
      <c r="AJ504" s="188" t="s">
        <v>171</v>
      </c>
      <c r="AK504" s="194" t="s">
        <v>3823</v>
      </c>
      <c r="AL504" s="199">
        <v>44819</v>
      </c>
      <c r="AM504" s="204">
        <v>13301671</v>
      </c>
      <c r="AN504" s="188" t="s">
        <v>3824</v>
      </c>
      <c r="AO504" s="194">
        <v>202208505</v>
      </c>
      <c r="AP504" s="181">
        <f t="shared" ref="AP504:AP506" si="244">+K504-AM504</f>
        <v>90</v>
      </c>
      <c r="AQ504" s="193"/>
      <c r="AR504" s="193"/>
      <c r="AS504" s="194"/>
      <c r="AT504" s="194"/>
      <c r="AU504" s="193"/>
      <c r="AV504" s="194" t="s">
        <v>174</v>
      </c>
      <c r="AW504" s="194" t="s">
        <v>175</v>
      </c>
      <c r="AX504" s="193"/>
      <c r="AY504" s="167">
        <f t="shared" ref="AY504:AY506" si="245">+AP504/K504</f>
        <v>6.7660214312977054E-6</v>
      </c>
      <c r="AZ504" s="139">
        <f t="shared" si="222"/>
        <v>0</v>
      </c>
      <c r="BA504" s="139">
        <f>IF(T504="Invitación Privada",1,IF(T504="Invitación Pública",2,0))</f>
        <v>1</v>
      </c>
      <c r="BB504" s="132">
        <f>IF(AA504="CONTRATADO",IF(BA504=1,NETWORKDAYS.INTL(E504,AD504,1,[1]FESTIVOS!$B$3:$B$10)-1,AD504-E504))-BD504</f>
        <v>25</v>
      </c>
    </row>
    <row r="505" spans="2:57" ht="43.9" customHeight="1" x14ac:dyDescent="0.25">
      <c r="B505" s="100">
        <f t="shared" si="218"/>
        <v>487</v>
      </c>
      <c r="C505" s="110" t="s">
        <v>3239</v>
      </c>
      <c r="D505" s="99" t="s">
        <v>332</v>
      </c>
      <c r="E505" s="189">
        <v>44797</v>
      </c>
      <c r="F505" s="268" t="s">
        <v>4438</v>
      </c>
      <c r="G505" s="188" t="s">
        <v>3240</v>
      </c>
      <c r="H505" s="188" t="s">
        <v>3241</v>
      </c>
      <c r="I505" s="96" t="s">
        <v>146</v>
      </c>
      <c r="J505" s="188" t="s">
        <v>3242</v>
      </c>
      <c r="K505" s="351">
        <v>31535000</v>
      </c>
      <c r="L505" s="188" t="s">
        <v>3025</v>
      </c>
      <c r="M505" s="188" t="s">
        <v>3825</v>
      </c>
      <c r="N505" s="188"/>
      <c r="O505" s="194">
        <v>202205304</v>
      </c>
      <c r="P505" s="185">
        <v>48136532</v>
      </c>
      <c r="Q505" s="194" t="s">
        <v>146</v>
      </c>
      <c r="R505" s="194" t="s">
        <v>146</v>
      </c>
      <c r="S505" s="99" t="s">
        <v>146</v>
      </c>
      <c r="T505" s="111" t="s">
        <v>43</v>
      </c>
      <c r="U505" s="96" t="s">
        <v>624</v>
      </c>
      <c r="V505" s="197">
        <v>44797</v>
      </c>
      <c r="W505" s="186" t="e">
        <f t="shared" si="234"/>
        <v>#VALUE!</v>
      </c>
      <c r="X505" s="99" t="e">
        <f t="shared" si="235"/>
        <v>#VALUE!</v>
      </c>
      <c r="Y505" s="194" t="s">
        <v>1317</v>
      </c>
      <c r="Z505" s="99" t="s">
        <v>168</v>
      </c>
      <c r="AA505" s="99" t="s">
        <v>169</v>
      </c>
      <c r="AB505" s="188"/>
      <c r="AC505" s="194"/>
      <c r="AD505" s="199">
        <v>44825</v>
      </c>
      <c r="AE505" s="183" t="s">
        <v>4262</v>
      </c>
      <c r="AF505" s="183"/>
      <c r="AG505" s="186">
        <f t="shared" si="236"/>
        <v>28</v>
      </c>
      <c r="AH505" s="187">
        <f t="shared" si="237"/>
        <v>28</v>
      </c>
      <c r="AI505" s="194" t="s">
        <v>258</v>
      </c>
      <c r="AJ505" s="188" t="s">
        <v>171</v>
      </c>
      <c r="AK505" s="194" t="s">
        <v>3826</v>
      </c>
      <c r="AL505" s="199">
        <v>44818</v>
      </c>
      <c r="AM505" s="204">
        <v>27000000</v>
      </c>
      <c r="AN505" s="188" t="s">
        <v>3827</v>
      </c>
      <c r="AO505" s="194">
        <v>202208496</v>
      </c>
      <c r="AP505" s="181">
        <f t="shared" si="244"/>
        <v>4535000</v>
      </c>
      <c r="AQ505" s="193"/>
      <c r="AR505" s="193"/>
      <c r="AS505" s="194"/>
      <c r="AT505" s="194"/>
      <c r="AU505" s="193"/>
      <c r="AV505" s="194" t="s">
        <v>174</v>
      </c>
      <c r="AW505" s="194" t="s">
        <v>175</v>
      </c>
      <c r="AX505" s="193"/>
      <c r="AY505" s="167">
        <f t="shared" si="245"/>
        <v>0.1438084667829396</v>
      </c>
      <c r="AZ505" s="139">
        <f t="shared" si="222"/>
        <v>0</v>
      </c>
      <c r="BA505" s="139">
        <f>IF(T505="Invitación Privada",1,IF(T505="Invitación Pública",2,0))</f>
        <v>1</v>
      </c>
      <c r="BB505" s="132">
        <f>IF(AA505="CONTRATADO",IF(BA505=1,NETWORKDAYS.INTL(E505,AD505,1,[1]FESTIVOS!$B$3:$B$10)-1,AD505-E505))-BD505</f>
        <v>20</v>
      </c>
      <c r="BD505" s="207">
        <v>0</v>
      </c>
      <c r="BE505" s="208" t="s">
        <v>2052</v>
      </c>
    </row>
    <row r="506" spans="2:57" ht="43.9" customHeight="1" x14ac:dyDescent="0.25">
      <c r="B506" s="100">
        <f t="shared" si="218"/>
        <v>488</v>
      </c>
      <c r="C506" s="267" t="s">
        <v>3243</v>
      </c>
      <c r="D506" s="265" t="s">
        <v>332</v>
      </c>
      <c r="E506" s="189">
        <v>44797</v>
      </c>
      <c r="F506" s="268" t="s">
        <v>4438</v>
      </c>
      <c r="G506" s="269" t="s">
        <v>3244</v>
      </c>
      <c r="H506" s="269" t="s">
        <v>3245</v>
      </c>
      <c r="I506" s="269" t="s">
        <v>146</v>
      </c>
      <c r="J506" s="269" t="s">
        <v>3246</v>
      </c>
      <c r="K506" s="352">
        <v>7140000</v>
      </c>
      <c r="L506" s="270"/>
      <c r="M506" s="269" t="s">
        <v>3576</v>
      </c>
      <c r="N506" s="279" t="str">
        <f>MID(M506,5,3)</f>
        <v>IP-</v>
      </c>
      <c r="O506" s="265">
        <v>202205371</v>
      </c>
      <c r="P506" s="270">
        <v>7140000</v>
      </c>
      <c r="Q506" s="265" t="s">
        <v>146</v>
      </c>
      <c r="R506" s="269" t="s">
        <v>146</v>
      </c>
      <c r="S506" s="265" t="s">
        <v>146</v>
      </c>
      <c r="T506" s="111" t="s">
        <v>43</v>
      </c>
      <c r="U506" s="269" t="s">
        <v>921</v>
      </c>
      <c r="V506" s="272">
        <v>44802</v>
      </c>
      <c r="W506" s="266" t="e">
        <f t="shared" si="234"/>
        <v>#VALUE!</v>
      </c>
      <c r="X506" s="266" t="e">
        <f t="shared" si="235"/>
        <v>#VALUE!</v>
      </c>
      <c r="Y506" s="265" t="s">
        <v>1317</v>
      </c>
      <c r="Z506" s="269" t="s">
        <v>4008</v>
      </c>
      <c r="AA506" s="269" t="s">
        <v>169</v>
      </c>
      <c r="AB506" s="269"/>
      <c r="AC506" s="269" t="s">
        <v>3577</v>
      </c>
      <c r="AD506" s="272">
        <v>44840</v>
      </c>
      <c r="AE506" s="273" t="s">
        <v>4274</v>
      </c>
      <c r="AF506" s="273" t="str">
        <f>+IF(AD506="","",TEXT(AD506,"mmm"))</f>
        <v>oct</v>
      </c>
      <c r="AG506" s="274">
        <f t="shared" si="236"/>
        <v>43</v>
      </c>
      <c r="AH506" s="275">
        <f t="shared" si="237"/>
        <v>38</v>
      </c>
      <c r="AI506" s="265" t="s">
        <v>258</v>
      </c>
      <c r="AJ506" s="269" t="s">
        <v>171</v>
      </c>
      <c r="AK506" s="265" t="s">
        <v>4009</v>
      </c>
      <c r="AL506" s="272">
        <v>44817</v>
      </c>
      <c r="AM506" s="276">
        <v>7140000</v>
      </c>
      <c r="AN506" s="269" t="s">
        <v>4010</v>
      </c>
      <c r="AO506" s="265">
        <v>202208413</v>
      </c>
      <c r="AP506" s="181">
        <f t="shared" si="244"/>
        <v>0</v>
      </c>
      <c r="AQ506" s="277"/>
      <c r="AR506" s="265"/>
      <c r="AS506" s="265"/>
      <c r="AT506" s="277"/>
      <c r="AU506" s="277"/>
      <c r="AV506" s="277"/>
      <c r="AW506" s="277"/>
      <c r="AX506" s="277"/>
      <c r="AY506" s="167">
        <f t="shared" si="245"/>
        <v>0</v>
      </c>
      <c r="AZ506" s="139">
        <f t="shared" si="222"/>
        <v>0</v>
      </c>
      <c r="BA506" s="139">
        <f>IF(T506="Invitación Privada",1,IF(T506="Invitación Pública",2,0))</f>
        <v>1</v>
      </c>
      <c r="BB506" s="132">
        <f>IF(AA506="CONTRATADO",IF(BA506=1,NETWORKDAYS.INTL(E506,AD506,1,[1]FESTIVOS!$B$3:$B$10)-1,AD506-E506))-BD506</f>
        <v>27</v>
      </c>
      <c r="BD506" s="3">
        <v>4</v>
      </c>
      <c r="BE506" s="95" t="s">
        <v>4232</v>
      </c>
    </row>
    <row r="507" spans="2:57" ht="43.9" customHeight="1" x14ac:dyDescent="0.25">
      <c r="B507" s="100">
        <f t="shared" si="218"/>
        <v>489</v>
      </c>
      <c r="C507" s="293" t="s">
        <v>3247</v>
      </c>
      <c r="D507" s="265" t="s">
        <v>28</v>
      </c>
      <c r="E507" s="258">
        <v>44797</v>
      </c>
      <c r="F507" s="268" t="s">
        <v>4438</v>
      </c>
      <c r="G507" s="269" t="s">
        <v>3248</v>
      </c>
      <c r="H507" s="265" t="s">
        <v>3249</v>
      </c>
      <c r="I507" s="265" t="s">
        <v>146</v>
      </c>
      <c r="J507" s="269" t="s">
        <v>3250</v>
      </c>
      <c r="K507" s="342">
        <v>3234000000</v>
      </c>
      <c r="L507" s="270"/>
      <c r="M507" s="265" t="s">
        <v>4001</v>
      </c>
      <c r="N507" s="302" t="str">
        <f>MID(M507,5,3)</f>
        <v>IPU</v>
      </c>
      <c r="O507" s="265">
        <v>202203637</v>
      </c>
      <c r="P507" s="271"/>
      <c r="Q507" s="265" t="s">
        <v>3251</v>
      </c>
      <c r="R507" s="265"/>
      <c r="S507" s="265" t="s">
        <v>146</v>
      </c>
      <c r="T507" s="111" t="s">
        <v>40</v>
      </c>
      <c r="U507" s="269" t="s">
        <v>187</v>
      </c>
      <c r="V507" s="272">
        <v>44802</v>
      </c>
      <c r="W507" s="303" t="e">
        <f t="shared" si="234"/>
        <v>#VALUE!</v>
      </c>
      <c r="X507" s="303" t="e">
        <f t="shared" si="235"/>
        <v>#VALUE!</v>
      </c>
      <c r="Y507" s="265"/>
      <c r="Z507" s="265" t="s">
        <v>152</v>
      </c>
      <c r="AA507" s="265" t="s">
        <v>153</v>
      </c>
      <c r="AB507" s="272">
        <v>44909</v>
      </c>
      <c r="AC507" s="304" t="s">
        <v>4002</v>
      </c>
      <c r="AD507" s="272">
        <v>44909</v>
      </c>
      <c r="AE507" s="265"/>
      <c r="AF507" s="305" t="str">
        <f>+IF(AD507="","",TEXT(AD507,"mmm"))</f>
        <v>dic</v>
      </c>
      <c r="AG507" s="306">
        <f t="shared" si="236"/>
        <v>112</v>
      </c>
      <c r="AH507" s="307">
        <f t="shared" si="237"/>
        <v>107</v>
      </c>
      <c r="AI507" s="265"/>
      <c r="AJ507" s="265" t="s">
        <v>171</v>
      </c>
      <c r="AK507" s="265"/>
      <c r="AL507" s="265"/>
      <c r="AM507" s="265"/>
      <c r="AN507" s="309"/>
      <c r="AO507" s="269"/>
      <c r="AP507" s="265"/>
      <c r="AQ507" s="309"/>
      <c r="AR507" s="289"/>
      <c r="AS507" s="269"/>
      <c r="AT507" s="265"/>
      <c r="AU507" s="260"/>
      <c r="AV507" s="260"/>
      <c r="AW507" s="200"/>
      <c r="AX507" s="200"/>
      <c r="AY507" s="200"/>
      <c r="AZ507" s="139">
        <f t="shared" si="222"/>
        <v>1</v>
      </c>
      <c r="BA507" s="200"/>
      <c r="BB507" s="200"/>
      <c r="BC507" s="3"/>
      <c r="BD507" s="95"/>
      <c r="BE507" s="2"/>
    </row>
    <row r="508" spans="2:57" ht="43.9" customHeight="1" x14ac:dyDescent="0.25">
      <c r="B508" s="100">
        <f t="shared" si="218"/>
        <v>490</v>
      </c>
      <c r="C508" s="293" t="s">
        <v>3252</v>
      </c>
      <c r="D508" s="265" t="s">
        <v>28</v>
      </c>
      <c r="E508" s="189">
        <v>44798</v>
      </c>
      <c r="F508" s="268" t="s">
        <v>4438</v>
      </c>
      <c r="G508" s="269" t="s">
        <v>3253</v>
      </c>
      <c r="H508" s="265" t="s">
        <v>3254</v>
      </c>
      <c r="I508" s="265" t="s">
        <v>146</v>
      </c>
      <c r="J508" s="269" t="s">
        <v>3255</v>
      </c>
      <c r="K508" s="342">
        <v>20288310</v>
      </c>
      <c r="L508" s="270"/>
      <c r="M508" s="265" t="s">
        <v>3578</v>
      </c>
      <c r="N508" s="302" t="str">
        <f>MID(M508,5,3)</f>
        <v>IP-</v>
      </c>
      <c r="O508" s="265" t="s">
        <v>3256</v>
      </c>
      <c r="P508" s="271"/>
      <c r="Q508" s="265" t="s">
        <v>146</v>
      </c>
      <c r="R508" s="265" t="s">
        <v>146</v>
      </c>
      <c r="S508" s="265" t="s">
        <v>146</v>
      </c>
      <c r="T508" s="111" t="s">
        <v>43</v>
      </c>
      <c r="U508" s="269" t="s">
        <v>2842</v>
      </c>
      <c r="V508" s="272">
        <v>44802</v>
      </c>
      <c r="W508" s="303" t="e">
        <f t="shared" si="234"/>
        <v>#VALUE!</v>
      </c>
      <c r="X508" s="303" t="e">
        <f t="shared" si="235"/>
        <v>#VALUE!</v>
      </c>
      <c r="Y508" s="265" t="s">
        <v>1317</v>
      </c>
      <c r="Z508" s="265" t="s">
        <v>168</v>
      </c>
      <c r="AA508" s="265" t="s">
        <v>169</v>
      </c>
      <c r="AB508" s="272">
        <v>44911</v>
      </c>
      <c r="AC508" s="304" t="s">
        <v>3579</v>
      </c>
      <c r="AD508" s="272">
        <v>44827</v>
      </c>
      <c r="AE508" s="272" t="s">
        <v>4264</v>
      </c>
      <c r="AF508" s="305" t="str">
        <f>+IF(AD508="","",TEXT(AD508,"mmm"))</f>
        <v>sep</v>
      </c>
      <c r="AG508" s="306">
        <f t="shared" si="236"/>
        <v>29</v>
      </c>
      <c r="AH508" s="307">
        <f t="shared" si="237"/>
        <v>25</v>
      </c>
      <c r="AI508" s="265" t="s">
        <v>258</v>
      </c>
      <c r="AJ508" s="265" t="s">
        <v>171</v>
      </c>
      <c r="AK508" s="265" t="s">
        <v>4245</v>
      </c>
      <c r="AL508" s="272">
        <v>44827</v>
      </c>
      <c r="AM508" s="309">
        <v>20288310</v>
      </c>
      <c r="AN508" s="269" t="s">
        <v>4246</v>
      </c>
      <c r="AO508" s="265" t="s">
        <v>4247</v>
      </c>
      <c r="AP508" s="181">
        <f t="shared" ref="AP508:AP509" si="246">+K508-AM508</f>
        <v>0</v>
      </c>
      <c r="AQ508" s="200"/>
      <c r="AR508" s="194"/>
      <c r="AS508" s="193"/>
      <c r="AT508" s="194"/>
      <c r="AU508" s="194"/>
      <c r="AV508" s="193"/>
      <c r="AW508" s="260"/>
      <c r="AX508" s="167"/>
      <c r="AY508" s="167">
        <f t="shared" ref="AY508:AY509" si="247">+AP508/K508</f>
        <v>0</v>
      </c>
      <c r="AZ508" s="139">
        <f t="shared" si="222"/>
        <v>1</v>
      </c>
      <c r="BA508" s="139">
        <f>IF(T508="Invitación Privada",1,IF(T508="Invitación Pública",2,0))</f>
        <v>1</v>
      </c>
      <c r="BB508" s="132">
        <f>IF(AA508="CONTRATADO",IF(BA508=1,NETWORKDAYS.INTL(E508,AD508,1,[1]FESTIVOS!$B$3:$B$10)-1,AD508-E508))-BD508</f>
        <v>21</v>
      </c>
      <c r="BC508" s="3"/>
    </row>
    <row r="509" spans="2:57" ht="43.9" customHeight="1" x14ac:dyDescent="0.25">
      <c r="B509" s="100">
        <f t="shared" si="218"/>
        <v>491</v>
      </c>
      <c r="C509" s="110" t="s">
        <v>3257</v>
      </c>
      <c r="D509" s="99" t="s">
        <v>28</v>
      </c>
      <c r="E509" s="189">
        <v>44798</v>
      </c>
      <c r="F509" s="268" t="s">
        <v>4438</v>
      </c>
      <c r="G509" s="188" t="s">
        <v>3258</v>
      </c>
      <c r="H509" s="188" t="s">
        <v>3259</v>
      </c>
      <c r="I509" s="96" t="s">
        <v>146</v>
      </c>
      <c r="J509" s="213" t="s">
        <v>3260</v>
      </c>
      <c r="K509" s="351">
        <v>499904220</v>
      </c>
      <c r="L509" s="194" t="s">
        <v>3745</v>
      </c>
      <c r="M509" s="188" t="s">
        <v>3828</v>
      </c>
      <c r="N509" s="188"/>
      <c r="O509" s="194">
        <v>202205696</v>
      </c>
      <c r="P509" s="185"/>
      <c r="Q509" s="96" t="s">
        <v>146</v>
      </c>
      <c r="R509" s="96" t="s">
        <v>146</v>
      </c>
      <c r="S509" s="99" t="s">
        <v>146</v>
      </c>
      <c r="T509" s="111" t="s">
        <v>43</v>
      </c>
      <c r="U509" s="96" t="s">
        <v>187</v>
      </c>
      <c r="V509" s="199">
        <v>44809</v>
      </c>
      <c r="W509" s="186" t="e">
        <f t="shared" si="234"/>
        <v>#VALUE!</v>
      </c>
      <c r="X509" s="99" t="e">
        <f t="shared" si="235"/>
        <v>#VALUE!</v>
      </c>
      <c r="Y509" s="194" t="s">
        <v>1317</v>
      </c>
      <c r="Z509" s="99" t="s">
        <v>168</v>
      </c>
      <c r="AA509" s="99" t="s">
        <v>169</v>
      </c>
      <c r="AB509" s="188"/>
      <c r="AC509" s="194"/>
      <c r="AD509" s="199">
        <v>44819</v>
      </c>
      <c r="AE509" s="183" t="s">
        <v>4262</v>
      </c>
      <c r="AF509" s="183"/>
      <c r="AG509" s="186">
        <f t="shared" si="236"/>
        <v>21</v>
      </c>
      <c r="AH509" s="187">
        <f t="shared" si="237"/>
        <v>10</v>
      </c>
      <c r="AI509" s="194" t="s">
        <v>258</v>
      </c>
      <c r="AJ509" s="188" t="s">
        <v>155</v>
      </c>
      <c r="AK509" s="194" t="s">
        <v>3829</v>
      </c>
      <c r="AL509" s="199">
        <v>44813</v>
      </c>
      <c r="AM509" s="204">
        <v>498989963</v>
      </c>
      <c r="AN509" s="188" t="s">
        <v>3830</v>
      </c>
      <c r="AO509" s="194">
        <v>202208374</v>
      </c>
      <c r="AP509" s="181">
        <f t="shared" si="246"/>
        <v>914257</v>
      </c>
      <c r="AQ509" s="193"/>
      <c r="AR509" s="193"/>
      <c r="AS509" s="194"/>
      <c r="AT509" s="194"/>
      <c r="AU509" s="193"/>
      <c r="AV509" s="194" t="s">
        <v>174</v>
      </c>
      <c r="AW509" s="194" t="s">
        <v>175</v>
      </c>
      <c r="AX509" s="193"/>
      <c r="AY509" s="167">
        <f t="shared" si="247"/>
        <v>1.828864337252444E-3</v>
      </c>
      <c r="AZ509" s="139">
        <f t="shared" si="222"/>
        <v>1</v>
      </c>
      <c r="BA509" s="139">
        <f>IF(T509="Invitación Privada",1,IF(T509="Invitación Pública",2,0))</f>
        <v>1</v>
      </c>
      <c r="BB509" s="132">
        <f>IF(AA509="CONTRATADO",IF(BA509=1,NETWORKDAYS.INTL(E509,AD509,1,[1]FESTIVOS!$B$3:$B$10)-1,AD509-E509))-BD509</f>
        <v>15</v>
      </c>
    </row>
    <row r="510" spans="2:57" ht="43.9" customHeight="1" x14ac:dyDescent="0.25">
      <c r="B510" s="100">
        <f t="shared" si="218"/>
        <v>492</v>
      </c>
      <c r="C510" s="293" t="s">
        <v>3261</v>
      </c>
      <c r="D510" s="265" t="s">
        <v>28</v>
      </c>
      <c r="E510" s="258">
        <v>44802</v>
      </c>
      <c r="F510" s="268" t="s">
        <v>4438</v>
      </c>
      <c r="G510" s="269" t="s">
        <v>3262</v>
      </c>
      <c r="H510" s="265" t="s">
        <v>3263</v>
      </c>
      <c r="I510" s="265" t="s">
        <v>146</v>
      </c>
      <c r="J510" s="269" t="s">
        <v>3264</v>
      </c>
      <c r="K510" s="342">
        <v>5000000</v>
      </c>
      <c r="L510" s="270"/>
      <c r="M510" s="265" t="s">
        <v>3580</v>
      </c>
      <c r="N510" s="302" t="str">
        <f>MID(M510,5,3)</f>
        <v>IP-</v>
      </c>
      <c r="O510" s="265">
        <v>202205598</v>
      </c>
      <c r="P510" s="323">
        <v>5000000</v>
      </c>
      <c r="Q510" s="265" t="s">
        <v>146</v>
      </c>
      <c r="R510" s="265" t="s">
        <v>146</v>
      </c>
      <c r="S510" s="265" t="s">
        <v>146</v>
      </c>
      <c r="T510" s="111" t="s">
        <v>43</v>
      </c>
      <c r="U510" s="269" t="s">
        <v>921</v>
      </c>
      <c r="V510" s="272">
        <v>44802</v>
      </c>
      <c r="W510" s="303" t="e">
        <f t="shared" si="234"/>
        <v>#VALUE!</v>
      </c>
      <c r="X510" s="303" t="e">
        <f t="shared" si="235"/>
        <v>#VALUE!</v>
      </c>
      <c r="Y510" s="265" t="s">
        <v>1300</v>
      </c>
      <c r="Z510" s="265" t="s">
        <v>214</v>
      </c>
      <c r="AA510" s="265" t="s">
        <v>215</v>
      </c>
      <c r="AB510" s="272">
        <v>44875</v>
      </c>
      <c r="AC510" s="304" t="s">
        <v>4029</v>
      </c>
      <c r="AD510" s="272">
        <v>44868</v>
      </c>
      <c r="AE510" s="265"/>
      <c r="AF510" s="305" t="str">
        <f>+IF(AD510="","",TEXT(AD510,"mmm"))</f>
        <v>nov</v>
      </c>
      <c r="AG510" s="306">
        <f t="shared" si="236"/>
        <v>66</v>
      </c>
      <c r="AH510" s="307">
        <f t="shared" si="237"/>
        <v>66</v>
      </c>
      <c r="AI510" s="265"/>
      <c r="AJ510" s="265" t="s">
        <v>171</v>
      </c>
      <c r="AK510" s="265"/>
      <c r="AL510" s="265"/>
      <c r="AM510" s="309"/>
      <c r="AN510" s="269"/>
      <c r="AO510" s="265"/>
      <c r="AP510" s="309"/>
      <c r="AQ510" s="289"/>
      <c r="AR510" s="269"/>
      <c r="AS510" s="265"/>
      <c r="AT510" s="260"/>
      <c r="AU510" s="260"/>
      <c r="AV510" s="200"/>
      <c r="AW510" s="200"/>
      <c r="AX510" s="200"/>
      <c r="AY510" s="200"/>
      <c r="AZ510" s="139">
        <f t="shared" si="222"/>
        <v>1</v>
      </c>
      <c r="BA510" s="200"/>
      <c r="BB510" s="203"/>
      <c r="BC510" s="95"/>
      <c r="BD510" s="2"/>
      <c r="BE510" s="2"/>
    </row>
    <row r="511" spans="2:57" ht="43.9" customHeight="1" x14ac:dyDescent="0.25">
      <c r="B511" s="100">
        <f t="shared" si="218"/>
        <v>493</v>
      </c>
      <c r="C511" s="293" t="s">
        <v>3265</v>
      </c>
      <c r="D511" s="312" t="s">
        <v>32</v>
      </c>
      <c r="E511" s="258">
        <v>44803</v>
      </c>
      <c r="F511" s="268" t="s">
        <v>4438</v>
      </c>
      <c r="G511" s="269" t="s">
        <v>3266</v>
      </c>
      <c r="H511" s="265" t="s">
        <v>3267</v>
      </c>
      <c r="I511" s="265" t="s">
        <v>146</v>
      </c>
      <c r="J511" s="269" t="s">
        <v>3268</v>
      </c>
      <c r="K511" s="342">
        <v>3349741858</v>
      </c>
      <c r="L511" s="270"/>
      <c r="M511" s="265" t="s">
        <v>3581</v>
      </c>
      <c r="N511" s="302" t="str">
        <f>MID(M511,5,3)</f>
        <v>IPU</v>
      </c>
      <c r="O511" s="265">
        <v>202205612</v>
      </c>
      <c r="P511" s="323">
        <v>3349741858</v>
      </c>
      <c r="Q511" s="265" t="s">
        <v>146</v>
      </c>
      <c r="R511" s="265" t="s">
        <v>146</v>
      </c>
      <c r="S511" s="265" t="s">
        <v>146</v>
      </c>
      <c r="T511" s="111" t="s">
        <v>40</v>
      </c>
      <c r="U511" s="269" t="s">
        <v>2889</v>
      </c>
      <c r="V511" s="272">
        <v>44803</v>
      </c>
      <c r="W511" s="303" t="e">
        <f t="shared" si="234"/>
        <v>#VALUE!</v>
      </c>
      <c r="X511" s="303" t="e">
        <f t="shared" si="235"/>
        <v>#VALUE!</v>
      </c>
      <c r="Y511" s="265" t="s">
        <v>146</v>
      </c>
      <c r="Z511" s="265" t="s">
        <v>214</v>
      </c>
      <c r="AA511" s="265" t="s">
        <v>215</v>
      </c>
      <c r="AB511" s="272">
        <v>44875</v>
      </c>
      <c r="AC511" s="304"/>
      <c r="AD511" s="272">
        <v>44875</v>
      </c>
      <c r="AE511" s="265"/>
      <c r="AF511" s="305" t="str">
        <f>+IF(AD511="","",TEXT(AD511,"mmm"))</f>
        <v>nov</v>
      </c>
      <c r="AG511" s="306">
        <f t="shared" si="236"/>
        <v>72</v>
      </c>
      <c r="AH511" s="307">
        <f t="shared" si="237"/>
        <v>72</v>
      </c>
      <c r="AI511" s="265"/>
      <c r="AJ511" s="265" t="s">
        <v>155</v>
      </c>
      <c r="AK511" s="265"/>
      <c r="AL511" s="265"/>
      <c r="AM511" s="309"/>
      <c r="AN511" s="269"/>
      <c r="AO511" s="265"/>
      <c r="AP511" s="309"/>
      <c r="AQ511" s="289"/>
      <c r="AR511" s="269"/>
      <c r="AS511" s="265"/>
      <c r="AT511" s="260"/>
      <c r="AU511" s="260"/>
      <c r="AV511" s="200"/>
      <c r="AW511" s="200"/>
      <c r="AX511" s="200"/>
      <c r="AY511" s="200"/>
      <c r="AZ511" s="139">
        <f t="shared" si="222"/>
        <v>1</v>
      </c>
      <c r="BA511" s="200"/>
      <c r="BB511" s="203"/>
      <c r="BC511" s="95"/>
      <c r="BD511" s="2"/>
      <c r="BE511" s="2"/>
    </row>
    <row r="512" spans="2:57" ht="43.9" customHeight="1" x14ac:dyDescent="0.25">
      <c r="B512" s="100">
        <f t="shared" si="218"/>
        <v>494</v>
      </c>
      <c r="C512" s="267" t="s">
        <v>3269</v>
      </c>
      <c r="D512" s="265" t="s">
        <v>3220</v>
      </c>
      <c r="E512" s="189">
        <v>44804</v>
      </c>
      <c r="F512" s="268" t="s">
        <v>4438</v>
      </c>
      <c r="G512" s="269" t="s">
        <v>3270</v>
      </c>
      <c r="H512" s="269" t="s">
        <v>3271</v>
      </c>
      <c r="I512" s="269" t="s">
        <v>146</v>
      </c>
      <c r="J512" s="269" t="s">
        <v>3272</v>
      </c>
      <c r="K512" s="352">
        <v>1402851900</v>
      </c>
      <c r="L512" s="270"/>
      <c r="M512" s="269" t="s">
        <v>3933</v>
      </c>
      <c r="N512" s="279" t="str">
        <f>MID(M512,5,3)</f>
        <v>IP-</v>
      </c>
      <c r="O512" s="265">
        <v>202203494</v>
      </c>
      <c r="P512" s="270">
        <v>1402851900</v>
      </c>
      <c r="Q512" s="265" t="s">
        <v>146</v>
      </c>
      <c r="R512" s="265" t="s">
        <v>146</v>
      </c>
      <c r="S512" s="265" t="s">
        <v>146</v>
      </c>
      <c r="T512" s="111" t="s">
        <v>43</v>
      </c>
      <c r="U512" s="269" t="s">
        <v>35</v>
      </c>
      <c r="V512" s="272">
        <v>44804</v>
      </c>
      <c r="W512" s="266" t="e">
        <f t="shared" si="234"/>
        <v>#VALUE!</v>
      </c>
      <c r="X512" s="266" t="e">
        <f t="shared" si="235"/>
        <v>#VALUE!</v>
      </c>
      <c r="Y512" s="265" t="s">
        <v>1317</v>
      </c>
      <c r="Z512" s="269" t="s">
        <v>168</v>
      </c>
      <c r="AA512" s="269" t="s">
        <v>169</v>
      </c>
      <c r="AB512" s="278">
        <v>44889</v>
      </c>
      <c r="AC512" s="269"/>
      <c r="AD512" s="272">
        <v>44819</v>
      </c>
      <c r="AE512" s="273" t="s">
        <v>4274</v>
      </c>
      <c r="AF512" s="273" t="str">
        <f>+IF(AD512="","",TEXT(AD512,"mmm"))</f>
        <v>sep</v>
      </c>
      <c r="AG512" s="274">
        <f t="shared" si="236"/>
        <v>15</v>
      </c>
      <c r="AH512" s="275">
        <f t="shared" si="237"/>
        <v>15</v>
      </c>
      <c r="AI512" s="265" t="s">
        <v>2462</v>
      </c>
      <c r="AJ512" s="269" t="s">
        <v>171</v>
      </c>
      <c r="AK512" s="265" t="s">
        <v>4011</v>
      </c>
      <c r="AL512" s="272">
        <v>44819</v>
      </c>
      <c r="AM512" s="276">
        <v>1402851900</v>
      </c>
      <c r="AN512" s="269" t="s">
        <v>416</v>
      </c>
      <c r="AO512" s="265">
        <v>202208414</v>
      </c>
      <c r="AP512" s="181">
        <f t="shared" ref="AP512" si="248">+K512-AM512</f>
        <v>0</v>
      </c>
      <c r="AQ512" s="277"/>
      <c r="AR512" s="265"/>
      <c r="AS512" s="265"/>
      <c r="AT512" s="200"/>
      <c r="AU512" s="200"/>
      <c r="AV512" s="260"/>
      <c r="AW512" s="260"/>
      <c r="AX512" s="260"/>
      <c r="AY512" s="167">
        <f>+AP512/K512</f>
        <v>0</v>
      </c>
      <c r="AZ512" s="139">
        <f t="shared" si="222"/>
        <v>0</v>
      </c>
      <c r="BA512" s="139">
        <f>IF(T512="Invitación Privada",1,IF(T512="Invitación Pública",2,0))</f>
        <v>1</v>
      </c>
      <c r="BB512" s="132">
        <f>IF(AA512="CONTRATADO",IF(BA512=1,NETWORKDAYS.INTL(E512,AD512,1,[1]FESTIVOS!$B$3:$B$10)-1,AD512-E512))-BD512</f>
        <v>11</v>
      </c>
    </row>
    <row r="513" spans="2:57" ht="43.9" customHeight="1" x14ac:dyDescent="0.25">
      <c r="B513" s="100">
        <f t="shared" si="218"/>
        <v>495</v>
      </c>
      <c r="C513" s="293" t="s">
        <v>3273</v>
      </c>
      <c r="D513" s="265" t="s">
        <v>1559</v>
      </c>
      <c r="E513" s="258">
        <v>44804</v>
      </c>
      <c r="F513" s="268" t="s">
        <v>4438</v>
      </c>
      <c r="G513" s="269" t="s">
        <v>3274</v>
      </c>
      <c r="H513" s="265" t="s">
        <v>3275</v>
      </c>
      <c r="I513" s="265" t="s">
        <v>146</v>
      </c>
      <c r="J513" s="269" t="s">
        <v>3276</v>
      </c>
      <c r="K513" s="342">
        <v>84338656</v>
      </c>
      <c r="L513" s="270"/>
      <c r="M513" s="265" t="s">
        <v>3542</v>
      </c>
      <c r="N513" s="302" t="str">
        <f>MID(M513,5,3)</f>
        <v>IP-</v>
      </c>
      <c r="O513" s="265">
        <v>202202998</v>
      </c>
      <c r="P513" s="323">
        <v>84338656</v>
      </c>
      <c r="Q513" s="265" t="s">
        <v>146</v>
      </c>
      <c r="R513" s="265" t="s">
        <v>146</v>
      </c>
      <c r="S513" s="265" t="s">
        <v>146</v>
      </c>
      <c r="T513" s="111" t="s">
        <v>43</v>
      </c>
      <c r="U513" s="269" t="s">
        <v>921</v>
      </c>
      <c r="V513" s="272">
        <v>44806</v>
      </c>
      <c r="W513" s="303" t="e">
        <f t="shared" si="234"/>
        <v>#VALUE!</v>
      </c>
      <c r="X513" s="303" t="e">
        <f t="shared" si="235"/>
        <v>#VALUE!</v>
      </c>
      <c r="Y513" s="265" t="s">
        <v>1300</v>
      </c>
      <c r="Z513" s="265" t="s">
        <v>214</v>
      </c>
      <c r="AA513" s="265" t="s">
        <v>215</v>
      </c>
      <c r="AB513" s="265"/>
      <c r="AC513" s="304"/>
      <c r="AD513" s="272">
        <v>44819</v>
      </c>
      <c r="AE513" s="272"/>
      <c r="AF513" s="305" t="str">
        <f>+IF(AD513="","",TEXT(AD513,"mmm"))</f>
        <v>sep</v>
      </c>
      <c r="AG513" s="306">
        <f t="shared" si="236"/>
        <v>15</v>
      </c>
      <c r="AH513" s="307">
        <f t="shared" si="237"/>
        <v>13</v>
      </c>
      <c r="AI513" s="265"/>
      <c r="AJ513" s="265" t="s">
        <v>491</v>
      </c>
      <c r="AK513" s="265"/>
      <c r="AL513" s="265"/>
      <c r="AM513" s="309"/>
      <c r="AN513" s="269"/>
      <c r="AO513" s="265"/>
      <c r="AP513" s="309"/>
      <c r="AQ513" s="289"/>
      <c r="AR513" s="269"/>
      <c r="AS513" s="265"/>
      <c r="AT513" s="260"/>
      <c r="AU513" s="260"/>
      <c r="AV513" s="200"/>
      <c r="AW513" s="200"/>
      <c r="AX513" s="200"/>
      <c r="AY513" s="200"/>
      <c r="AZ513" s="139">
        <f t="shared" si="222"/>
        <v>0</v>
      </c>
      <c r="BA513" s="200"/>
      <c r="BB513" s="203"/>
      <c r="BC513" s="95"/>
      <c r="BD513" s="2"/>
      <c r="BE513" s="2"/>
    </row>
    <row r="514" spans="2:57" ht="43.9" customHeight="1" x14ac:dyDescent="0.25">
      <c r="B514" s="100">
        <f t="shared" si="218"/>
        <v>496</v>
      </c>
      <c r="C514" s="293" t="s">
        <v>3277</v>
      </c>
      <c r="D514" s="265" t="s">
        <v>1559</v>
      </c>
      <c r="E514" s="258">
        <v>44804</v>
      </c>
      <c r="F514" s="268" t="s">
        <v>4438</v>
      </c>
      <c r="G514" s="269" t="s">
        <v>3278</v>
      </c>
      <c r="H514" s="265" t="s">
        <v>3279</v>
      </c>
      <c r="I514" s="265" t="s">
        <v>146</v>
      </c>
      <c r="J514" s="269" t="s">
        <v>3280</v>
      </c>
      <c r="K514" s="342">
        <v>99999903</v>
      </c>
      <c r="L514" s="270"/>
      <c r="M514" s="265" t="s">
        <v>3582</v>
      </c>
      <c r="N514" s="302" t="str">
        <f>MID(M514,5,3)</f>
        <v>IP-</v>
      </c>
      <c r="O514" s="265">
        <v>202205712</v>
      </c>
      <c r="P514" s="323">
        <v>99999903</v>
      </c>
      <c r="Q514" s="265" t="s">
        <v>146</v>
      </c>
      <c r="R514" s="265" t="s">
        <v>146</v>
      </c>
      <c r="S514" s="265" t="s">
        <v>146</v>
      </c>
      <c r="T514" s="111" t="s">
        <v>43</v>
      </c>
      <c r="U514" s="269" t="s">
        <v>921</v>
      </c>
      <c r="V514" s="272">
        <v>44806</v>
      </c>
      <c r="W514" s="303" t="e">
        <f t="shared" si="234"/>
        <v>#VALUE!</v>
      </c>
      <c r="X514" s="303" t="e">
        <f t="shared" si="235"/>
        <v>#VALUE!</v>
      </c>
      <c r="Y514" s="265" t="s">
        <v>1300</v>
      </c>
      <c r="Z514" s="265" t="s">
        <v>2157</v>
      </c>
      <c r="AA514" s="265" t="s">
        <v>215</v>
      </c>
      <c r="AB514" s="265"/>
      <c r="AC514" s="304"/>
      <c r="AD514" s="272">
        <v>44814</v>
      </c>
      <c r="AE514" s="265"/>
      <c r="AF514" s="305" t="str">
        <f>+IF(AD514="","",TEXT(AD514,"mmm"))</f>
        <v>sep</v>
      </c>
      <c r="AG514" s="306">
        <f t="shared" si="236"/>
        <v>10</v>
      </c>
      <c r="AH514" s="307">
        <f t="shared" si="237"/>
        <v>8</v>
      </c>
      <c r="AI514" s="265"/>
      <c r="AJ514" s="265" t="s">
        <v>171</v>
      </c>
      <c r="AK514" s="265"/>
      <c r="AL514" s="265"/>
      <c r="AM514" s="309"/>
      <c r="AN514" s="269"/>
      <c r="AO514" s="265"/>
      <c r="AP514" s="309"/>
      <c r="AQ514" s="289"/>
      <c r="AR514" s="269"/>
      <c r="AS514" s="265"/>
      <c r="AT514" s="260"/>
      <c r="AU514" s="260"/>
      <c r="AV514" s="200"/>
      <c r="AW514" s="200"/>
      <c r="AX514" s="200"/>
      <c r="AY514" s="200"/>
      <c r="AZ514" s="139">
        <f t="shared" si="222"/>
        <v>0</v>
      </c>
      <c r="BA514" s="200"/>
      <c r="BB514" s="203"/>
      <c r="BC514" s="95"/>
      <c r="BD514" s="2"/>
      <c r="BE514" s="2"/>
    </row>
    <row r="515" spans="2:57" ht="43.9" customHeight="1" x14ac:dyDescent="0.25">
      <c r="B515" s="100">
        <f t="shared" si="218"/>
        <v>497</v>
      </c>
      <c r="C515" s="110" t="s">
        <v>3281</v>
      </c>
      <c r="D515" s="99" t="s">
        <v>28</v>
      </c>
      <c r="E515" s="189">
        <v>44804</v>
      </c>
      <c r="F515" s="268" t="s">
        <v>4438</v>
      </c>
      <c r="G515" s="188" t="s">
        <v>3282</v>
      </c>
      <c r="H515" s="188" t="s">
        <v>3283</v>
      </c>
      <c r="I515" s="96" t="s">
        <v>146</v>
      </c>
      <c r="J515" s="188" t="s">
        <v>3284</v>
      </c>
      <c r="K515" s="351">
        <v>10000000</v>
      </c>
      <c r="L515" s="188" t="s">
        <v>3449</v>
      </c>
      <c r="M515" s="188" t="s">
        <v>3831</v>
      </c>
      <c r="N515" s="188"/>
      <c r="O515" s="194">
        <v>202204376</v>
      </c>
      <c r="P515" s="198">
        <v>10000000</v>
      </c>
      <c r="Q515" s="194" t="s">
        <v>146</v>
      </c>
      <c r="R515" s="194" t="s">
        <v>146</v>
      </c>
      <c r="S515" s="99" t="s">
        <v>146</v>
      </c>
      <c r="T515" s="111" t="s">
        <v>43</v>
      </c>
      <c r="U515" s="96" t="s">
        <v>2484</v>
      </c>
      <c r="V515" s="199">
        <v>44806</v>
      </c>
      <c r="W515" s="186" t="e">
        <f t="shared" si="234"/>
        <v>#VALUE!</v>
      </c>
      <c r="X515" s="99" t="e">
        <f t="shared" si="235"/>
        <v>#VALUE!</v>
      </c>
      <c r="Y515" s="194" t="s">
        <v>1317</v>
      </c>
      <c r="Z515" s="99" t="s">
        <v>168</v>
      </c>
      <c r="AA515" s="99" t="s">
        <v>169</v>
      </c>
      <c r="AB515" s="188"/>
      <c r="AC515" s="194"/>
      <c r="AD515" s="199">
        <v>44826</v>
      </c>
      <c r="AE515" s="183" t="s">
        <v>4262</v>
      </c>
      <c r="AF515" s="183"/>
      <c r="AG515" s="186">
        <f t="shared" si="236"/>
        <v>22</v>
      </c>
      <c r="AH515" s="187">
        <f t="shared" si="237"/>
        <v>20</v>
      </c>
      <c r="AI515" s="194" t="s">
        <v>258</v>
      </c>
      <c r="AJ515" s="188" t="s">
        <v>171</v>
      </c>
      <c r="AK515" s="194" t="s">
        <v>3832</v>
      </c>
      <c r="AL515" s="199">
        <v>44819</v>
      </c>
      <c r="AM515" s="204">
        <v>10000000</v>
      </c>
      <c r="AN515" s="188" t="s">
        <v>3833</v>
      </c>
      <c r="AO515" s="194">
        <v>202208494</v>
      </c>
      <c r="AP515" s="181">
        <f t="shared" ref="AP515" si="249">+K515-AM515</f>
        <v>0</v>
      </c>
      <c r="AQ515" s="193"/>
      <c r="AR515" s="193"/>
      <c r="AS515" s="194"/>
      <c r="AT515" s="194"/>
      <c r="AU515" s="193"/>
      <c r="AV515" s="194" t="s">
        <v>174</v>
      </c>
      <c r="AW515" s="194" t="s">
        <v>175</v>
      </c>
      <c r="AX515" s="193"/>
      <c r="AY515" s="167">
        <f>+AP515/K515</f>
        <v>0</v>
      </c>
      <c r="AZ515" s="139">
        <f t="shared" si="222"/>
        <v>1</v>
      </c>
      <c r="BA515" s="139">
        <f>IF(T515="Invitación Privada",1,IF(T515="Invitación Pública",2,0))</f>
        <v>1</v>
      </c>
      <c r="BB515" s="132">
        <f>IF(AA515="CONTRATADO",IF(BA515=1,NETWORKDAYS.INTL(E515,AD515,1,[1]FESTIVOS!$B$3:$B$10)-1,AD515-E515))-BD515</f>
        <v>16</v>
      </c>
      <c r="BD515" s="207"/>
      <c r="BE515" s="208"/>
    </row>
    <row r="516" spans="2:57" ht="43.9" customHeight="1" x14ac:dyDescent="0.25">
      <c r="B516" s="100">
        <f t="shared" si="218"/>
        <v>498</v>
      </c>
      <c r="C516" s="293" t="s">
        <v>3285</v>
      </c>
      <c r="D516" s="265" t="s">
        <v>28</v>
      </c>
      <c r="E516" s="258">
        <v>44804</v>
      </c>
      <c r="F516" s="268" t="s">
        <v>4438</v>
      </c>
      <c r="G516" s="269" t="s">
        <v>3286</v>
      </c>
      <c r="H516" s="265" t="s">
        <v>3287</v>
      </c>
      <c r="I516" s="265" t="s">
        <v>146</v>
      </c>
      <c r="J516" s="269" t="s">
        <v>3288</v>
      </c>
      <c r="K516" s="342">
        <v>29563947</v>
      </c>
      <c r="L516" s="270"/>
      <c r="M516" s="265" t="s">
        <v>3934</v>
      </c>
      <c r="N516" s="302" t="str">
        <f>MID(M516,5,3)</f>
        <v>IP-</v>
      </c>
      <c r="O516" s="265">
        <v>202205377</v>
      </c>
      <c r="P516" s="271"/>
      <c r="Q516" s="265"/>
      <c r="R516" s="265"/>
      <c r="S516" s="265" t="s">
        <v>146</v>
      </c>
      <c r="T516" s="111" t="s">
        <v>43</v>
      </c>
      <c r="U516" s="269" t="s">
        <v>2842</v>
      </c>
      <c r="V516" s="272">
        <v>44806</v>
      </c>
      <c r="W516" s="303" t="e">
        <f t="shared" si="234"/>
        <v>#VALUE!</v>
      </c>
      <c r="X516" s="303" t="e">
        <f t="shared" si="235"/>
        <v>#VALUE!</v>
      </c>
      <c r="Y516" s="265"/>
      <c r="Z516" s="265" t="s">
        <v>152</v>
      </c>
      <c r="AA516" s="265" t="s">
        <v>153</v>
      </c>
      <c r="AB516" s="272">
        <v>44925</v>
      </c>
      <c r="AC516" s="304" t="s">
        <v>4085</v>
      </c>
      <c r="AD516" s="272">
        <v>44924</v>
      </c>
      <c r="AE516" s="265"/>
      <c r="AF516" s="305" t="str">
        <f>+IF(AD516="","",TEXT(AD516,"mmm"))</f>
        <v>dic</v>
      </c>
      <c r="AG516" s="306">
        <f t="shared" si="236"/>
        <v>120</v>
      </c>
      <c r="AH516" s="307">
        <f t="shared" si="237"/>
        <v>118</v>
      </c>
      <c r="AI516" s="265"/>
      <c r="AJ516" s="265" t="s">
        <v>155</v>
      </c>
      <c r="AK516" s="265"/>
      <c r="AL516" s="265"/>
      <c r="AM516" s="265"/>
      <c r="AN516" s="309"/>
      <c r="AO516" s="269"/>
      <c r="AP516" s="265"/>
      <c r="AQ516" s="309"/>
      <c r="AR516" s="289"/>
      <c r="AS516" s="269"/>
      <c r="AT516" s="265"/>
      <c r="AU516" s="260"/>
      <c r="AV516" s="260"/>
      <c r="AW516" s="200"/>
      <c r="AX516" s="200"/>
      <c r="AY516" s="200"/>
      <c r="AZ516" s="139">
        <f t="shared" si="222"/>
        <v>1</v>
      </c>
      <c r="BA516" s="200"/>
      <c r="BB516" s="200"/>
      <c r="BC516" s="3"/>
      <c r="BD516" s="95"/>
      <c r="BE516" s="2"/>
    </row>
    <row r="517" spans="2:57" ht="43.9" customHeight="1" x14ac:dyDescent="0.25">
      <c r="B517" s="100">
        <f t="shared" si="218"/>
        <v>499</v>
      </c>
      <c r="C517" s="293" t="s">
        <v>3289</v>
      </c>
      <c r="D517" s="265" t="s">
        <v>28</v>
      </c>
      <c r="E517" s="258">
        <v>44804</v>
      </c>
      <c r="F517" s="268" t="s">
        <v>4438</v>
      </c>
      <c r="G517" s="269" t="s">
        <v>3290</v>
      </c>
      <c r="H517" s="265" t="s">
        <v>3291</v>
      </c>
      <c r="I517" s="265" t="s">
        <v>146</v>
      </c>
      <c r="J517" s="269" t="s">
        <v>3292</v>
      </c>
      <c r="K517" s="342">
        <v>79805785</v>
      </c>
      <c r="L517" s="270"/>
      <c r="M517" s="265" t="s">
        <v>3935</v>
      </c>
      <c r="N517" s="302" t="str">
        <f>MID(M517,5,3)</f>
        <v>IP-</v>
      </c>
      <c r="O517" s="265" t="s">
        <v>3293</v>
      </c>
      <c r="P517" s="271"/>
      <c r="Q517" s="265"/>
      <c r="R517" s="265"/>
      <c r="S517" s="265" t="s">
        <v>146</v>
      </c>
      <c r="T517" s="111" t="s">
        <v>43</v>
      </c>
      <c r="U517" s="269" t="s">
        <v>2842</v>
      </c>
      <c r="V517" s="272">
        <v>44806</v>
      </c>
      <c r="W517" s="303" t="e">
        <f t="shared" si="234"/>
        <v>#VALUE!</v>
      </c>
      <c r="X517" s="303" t="e">
        <f t="shared" si="235"/>
        <v>#VALUE!</v>
      </c>
      <c r="Y517" s="265"/>
      <c r="Z517" s="265" t="s">
        <v>152</v>
      </c>
      <c r="AA517" s="265" t="s">
        <v>153</v>
      </c>
      <c r="AB517" s="272">
        <v>44925</v>
      </c>
      <c r="AC517" s="304" t="s">
        <v>4086</v>
      </c>
      <c r="AD517" s="272">
        <v>44924</v>
      </c>
      <c r="AE517" s="265"/>
      <c r="AF517" s="305" t="str">
        <f>+IF(AD517="","",TEXT(AD517,"mmm"))</f>
        <v>dic</v>
      </c>
      <c r="AG517" s="306">
        <f t="shared" si="236"/>
        <v>120</v>
      </c>
      <c r="AH517" s="307">
        <f t="shared" si="237"/>
        <v>118</v>
      </c>
      <c r="AI517" s="265"/>
      <c r="AJ517" s="265" t="s">
        <v>171</v>
      </c>
      <c r="AK517" s="265"/>
      <c r="AL517" s="265"/>
      <c r="AM517" s="265"/>
      <c r="AN517" s="309"/>
      <c r="AO517" s="269"/>
      <c r="AP517" s="265"/>
      <c r="AQ517" s="309"/>
      <c r="AR517" s="289"/>
      <c r="AS517" s="269"/>
      <c r="AT517" s="265"/>
      <c r="AU517" s="260"/>
      <c r="AV517" s="260"/>
      <c r="AW517" s="200"/>
      <c r="AX517" s="200"/>
      <c r="AY517" s="200"/>
      <c r="AZ517" s="139">
        <f t="shared" si="222"/>
        <v>1</v>
      </c>
      <c r="BA517" s="200"/>
      <c r="BB517" s="200"/>
      <c r="BC517" s="3"/>
      <c r="BD517" s="95"/>
      <c r="BE517" s="2"/>
    </row>
    <row r="518" spans="2:57" ht="43.9" customHeight="1" x14ac:dyDescent="0.25">
      <c r="B518" s="100">
        <f t="shared" si="218"/>
        <v>500</v>
      </c>
      <c r="C518" s="110" t="s">
        <v>3294</v>
      </c>
      <c r="D518" s="99" t="s">
        <v>332</v>
      </c>
      <c r="E518" s="189">
        <v>44804</v>
      </c>
      <c r="F518" s="268" t="s">
        <v>4438</v>
      </c>
      <c r="G518" s="188" t="s">
        <v>3295</v>
      </c>
      <c r="H518" s="188" t="s">
        <v>3296</v>
      </c>
      <c r="I518" s="96" t="s">
        <v>146</v>
      </c>
      <c r="J518" s="188" t="s">
        <v>3297</v>
      </c>
      <c r="K518" s="351">
        <v>453320213</v>
      </c>
      <c r="L518" s="188" t="s">
        <v>3025</v>
      </c>
      <c r="M518" s="188" t="s">
        <v>3583</v>
      </c>
      <c r="N518" s="188"/>
      <c r="O518" s="194" t="s">
        <v>3298</v>
      </c>
      <c r="P518" s="198">
        <v>679730053</v>
      </c>
      <c r="Q518" s="194" t="s">
        <v>146</v>
      </c>
      <c r="R518" s="194" t="s">
        <v>146</v>
      </c>
      <c r="S518" s="99" t="s">
        <v>146</v>
      </c>
      <c r="T518" s="111" t="s">
        <v>43</v>
      </c>
      <c r="U518" s="96" t="s">
        <v>777</v>
      </c>
      <c r="V518" s="199">
        <v>44804</v>
      </c>
      <c r="W518" s="186">
        <v>69</v>
      </c>
      <c r="X518" s="99">
        <v>69</v>
      </c>
      <c r="Y518" s="194" t="s">
        <v>1317</v>
      </c>
      <c r="Z518" s="99" t="s">
        <v>168</v>
      </c>
      <c r="AA518" s="99" t="s">
        <v>169</v>
      </c>
      <c r="AB518" s="188" t="s">
        <v>3584</v>
      </c>
      <c r="AC518" s="188"/>
      <c r="AD518" s="199">
        <v>44853</v>
      </c>
      <c r="AE518" s="183" t="s">
        <v>4271</v>
      </c>
      <c r="AF518" s="186">
        <v>49</v>
      </c>
      <c r="AG518" s="186"/>
      <c r="AH518" s="187">
        <v>49</v>
      </c>
      <c r="AI518" s="194" t="s">
        <v>2462</v>
      </c>
      <c r="AJ518" s="188" t="s">
        <v>171</v>
      </c>
      <c r="AK518" s="194" t="s">
        <v>3979</v>
      </c>
      <c r="AL518" s="199">
        <v>44819</v>
      </c>
      <c r="AM518" s="204">
        <v>453320213</v>
      </c>
      <c r="AN518" s="188" t="s">
        <v>3980</v>
      </c>
      <c r="AO518" s="194">
        <v>202208542</v>
      </c>
      <c r="AP518" s="181">
        <f t="shared" ref="AP518:AP520" si="250">+K518-AM518</f>
        <v>0</v>
      </c>
      <c r="AQ518" s="194" t="s">
        <v>174</v>
      </c>
      <c r="AR518" s="194" t="s">
        <v>175</v>
      </c>
      <c r="AS518" s="203"/>
      <c r="AT518" s="200"/>
      <c r="AU518" s="200"/>
      <c r="AV518" s="260"/>
      <c r="AW518" s="260"/>
      <c r="AX518" s="260"/>
      <c r="AY518" s="167">
        <f t="shared" ref="AY518:AY520" si="251">+AP518/K518</f>
        <v>0</v>
      </c>
      <c r="AZ518" s="139">
        <f t="shared" si="222"/>
        <v>0</v>
      </c>
      <c r="BA518" s="139">
        <f>IF(T518="Invitación Privada",1,IF(T518="Invitación Pública",2,0))</f>
        <v>1</v>
      </c>
      <c r="BB518" s="132">
        <f>IF(AA518="CONTRATADO",IF(BA518=1,NETWORKDAYS.INTL(E518,AD518,1,[1]FESTIVOS!$B$3:$B$10)-1,AD518-E518))-BD518</f>
        <v>35</v>
      </c>
      <c r="BD518" s="207">
        <v>0</v>
      </c>
      <c r="BE518" s="208"/>
    </row>
    <row r="519" spans="2:57" ht="43.9" customHeight="1" x14ac:dyDescent="0.25">
      <c r="B519" s="100">
        <f t="shared" si="218"/>
        <v>501</v>
      </c>
      <c r="C519" s="293" t="s">
        <v>3299</v>
      </c>
      <c r="D519" s="265" t="s">
        <v>1559</v>
      </c>
      <c r="E519" s="314">
        <v>44805</v>
      </c>
      <c r="F519" s="268" t="s">
        <v>4262</v>
      </c>
      <c r="G519" s="287" t="s">
        <v>3300</v>
      </c>
      <c r="H519" s="265" t="s">
        <v>2430</v>
      </c>
      <c r="I519" s="265" t="s">
        <v>146</v>
      </c>
      <c r="J519" s="269" t="s">
        <v>2431</v>
      </c>
      <c r="K519" s="342">
        <v>129108545</v>
      </c>
      <c r="L519" s="270"/>
      <c r="M519" s="265" t="s">
        <v>3585</v>
      </c>
      <c r="N519" s="302" t="str">
        <f>MID(M519,5,3)</f>
        <v>IP-</v>
      </c>
      <c r="O519" s="265">
        <v>202205066</v>
      </c>
      <c r="P519" s="271"/>
      <c r="Q519" s="265" t="s">
        <v>146</v>
      </c>
      <c r="R519" s="265" t="s">
        <v>146</v>
      </c>
      <c r="S519" s="265" t="s">
        <v>146</v>
      </c>
      <c r="T519" s="111" t="s">
        <v>43</v>
      </c>
      <c r="U519" s="269" t="s">
        <v>1904</v>
      </c>
      <c r="V519" s="272">
        <v>44805</v>
      </c>
      <c r="W519" s="303" t="e">
        <f t="shared" ref="W519:W540" si="252">+$D$4-E519</f>
        <v>#VALUE!</v>
      </c>
      <c r="X519" s="303" t="e">
        <f t="shared" ref="X519:X540" si="253">$D$4-V519</f>
        <v>#VALUE!</v>
      </c>
      <c r="Y519" s="265"/>
      <c r="Z519" s="265" t="s">
        <v>168</v>
      </c>
      <c r="AA519" s="265" t="s">
        <v>169</v>
      </c>
      <c r="AB519" s="272">
        <v>44894</v>
      </c>
      <c r="AC519" s="304" t="s">
        <v>4087</v>
      </c>
      <c r="AD519" s="272">
        <v>44897</v>
      </c>
      <c r="AE519" s="272" t="s">
        <v>4264</v>
      </c>
      <c r="AF519" s="305" t="str">
        <f>+IF(AD519="","",TEXT(AD519,"mmm"))</f>
        <v>dic</v>
      </c>
      <c r="AG519" s="306">
        <f t="shared" ref="AG519:AG540" si="254">+AD519-E519</f>
        <v>92</v>
      </c>
      <c r="AH519" s="307">
        <f t="shared" ref="AH519:AH540" si="255">+AD519-V519</f>
        <v>92</v>
      </c>
      <c r="AI519" s="265" t="s">
        <v>258</v>
      </c>
      <c r="AJ519" s="265" t="s">
        <v>171</v>
      </c>
      <c r="AK519" s="265" t="s">
        <v>4248</v>
      </c>
      <c r="AL519" s="272">
        <v>44890</v>
      </c>
      <c r="AM519" s="309">
        <v>129108544</v>
      </c>
      <c r="AN519" s="269" t="s">
        <v>4249</v>
      </c>
      <c r="AO519" s="265" t="s">
        <v>4250</v>
      </c>
      <c r="AP519" s="181">
        <f t="shared" si="250"/>
        <v>1</v>
      </c>
      <c r="AQ519" s="200"/>
      <c r="AR519" s="194"/>
      <c r="AS519" s="193"/>
      <c r="AT519" s="194"/>
      <c r="AU519" s="260"/>
      <c r="AV519" s="260"/>
      <c r="AW519" s="194"/>
      <c r="AX519" s="193"/>
      <c r="AY519" s="167">
        <f t="shared" si="251"/>
        <v>7.7454207233146341E-9</v>
      </c>
      <c r="AZ519" s="139">
        <f t="shared" si="222"/>
        <v>0</v>
      </c>
      <c r="BA519" s="139">
        <f>IF(T519="Invitación Privada",1,IF(T519="Invitación Pública",2,0))</f>
        <v>1</v>
      </c>
      <c r="BB519" s="132">
        <f>IF(AA519="CONTRATADO",IF(BA519=1,NETWORKDAYS.INTL(E519,AD519,1,[1]FESTIVOS!$B$3:$B$10)-1,AD519-E519))-BD519</f>
        <v>39</v>
      </c>
      <c r="BD519" s="3">
        <v>27</v>
      </c>
      <c r="BE519" s="95" t="s">
        <v>4229</v>
      </c>
    </row>
    <row r="520" spans="2:57" ht="43.9" customHeight="1" x14ac:dyDescent="0.25">
      <c r="B520" s="100">
        <f t="shared" si="218"/>
        <v>502</v>
      </c>
      <c r="C520" s="110" t="s">
        <v>3301</v>
      </c>
      <c r="D520" s="99" t="s">
        <v>33</v>
      </c>
      <c r="E520" s="197">
        <v>44805</v>
      </c>
      <c r="F520" s="268" t="s">
        <v>4262</v>
      </c>
      <c r="G520" s="188" t="s">
        <v>3302</v>
      </c>
      <c r="H520" s="188" t="s">
        <v>3303</v>
      </c>
      <c r="I520" s="96" t="s">
        <v>146</v>
      </c>
      <c r="J520" s="188" t="s">
        <v>3304</v>
      </c>
      <c r="K520" s="351">
        <v>33566000</v>
      </c>
      <c r="L520" s="188" t="s">
        <v>3834</v>
      </c>
      <c r="M520" s="99" t="s">
        <v>3835</v>
      </c>
      <c r="N520" s="99"/>
      <c r="O520" s="194">
        <v>202204412</v>
      </c>
      <c r="P520" s="198">
        <v>33566000</v>
      </c>
      <c r="Q520" s="96" t="s">
        <v>146</v>
      </c>
      <c r="R520" s="96" t="s">
        <v>146</v>
      </c>
      <c r="S520" s="99" t="s">
        <v>146</v>
      </c>
      <c r="T520" s="111" t="s">
        <v>43</v>
      </c>
      <c r="U520" s="96" t="s">
        <v>572</v>
      </c>
      <c r="V520" s="199">
        <v>44809</v>
      </c>
      <c r="W520" s="186" t="e">
        <f t="shared" si="252"/>
        <v>#VALUE!</v>
      </c>
      <c r="X520" s="99" t="e">
        <f t="shared" si="253"/>
        <v>#VALUE!</v>
      </c>
      <c r="Y520" s="194" t="s">
        <v>1317</v>
      </c>
      <c r="Z520" s="99" t="s">
        <v>168</v>
      </c>
      <c r="AA520" s="99" t="s">
        <v>169</v>
      </c>
      <c r="AB520" s="188"/>
      <c r="AC520" s="194"/>
      <c r="AD520" s="199">
        <v>44833</v>
      </c>
      <c r="AE520" s="183" t="s">
        <v>4262</v>
      </c>
      <c r="AF520" s="183"/>
      <c r="AG520" s="186">
        <f t="shared" si="254"/>
        <v>28</v>
      </c>
      <c r="AH520" s="187">
        <f t="shared" si="255"/>
        <v>24</v>
      </c>
      <c r="AI520" s="194" t="s">
        <v>258</v>
      </c>
      <c r="AJ520" s="188" t="s">
        <v>171</v>
      </c>
      <c r="AK520" s="194" t="s">
        <v>3836</v>
      </c>
      <c r="AL520" s="199">
        <v>44819</v>
      </c>
      <c r="AM520" s="204">
        <v>33565711</v>
      </c>
      <c r="AN520" s="188" t="s">
        <v>3837</v>
      </c>
      <c r="AO520" s="194">
        <v>202208533</v>
      </c>
      <c r="AP520" s="181">
        <f t="shared" si="250"/>
        <v>289</v>
      </c>
      <c r="AQ520" s="193"/>
      <c r="AR520" s="193"/>
      <c r="AS520" s="194"/>
      <c r="AT520" s="194"/>
      <c r="AU520" s="193"/>
      <c r="AV520" s="194" t="s">
        <v>174</v>
      </c>
      <c r="AW520" s="194" t="s">
        <v>175</v>
      </c>
      <c r="AX520" s="193"/>
      <c r="AY520" s="167">
        <f t="shared" si="251"/>
        <v>8.6099028779121728E-6</v>
      </c>
      <c r="AZ520" s="139">
        <f t="shared" si="222"/>
        <v>1</v>
      </c>
      <c r="BA520" s="139">
        <f>IF(T520="Invitación Privada",1,IF(T520="Invitación Pública",2,0))</f>
        <v>1</v>
      </c>
      <c r="BB520" s="132">
        <f>IF(AA520="CONTRATADO",IF(BA520=1,NETWORKDAYS.INTL(E520,AD520,1,[1]FESTIVOS!$B$3:$B$10)-1,AD520-E520))-BD520</f>
        <v>20</v>
      </c>
      <c r="BD520" s="207">
        <v>0</v>
      </c>
      <c r="BE520" s="208" t="s">
        <v>3900</v>
      </c>
    </row>
    <row r="521" spans="2:57" ht="43.9" customHeight="1" x14ac:dyDescent="0.25">
      <c r="B521" s="100">
        <f t="shared" si="218"/>
        <v>503</v>
      </c>
      <c r="C521" s="293" t="s">
        <v>3305</v>
      </c>
      <c r="D521" s="265" t="s">
        <v>28</v>
      </c>
      <c r="E521" s="272">
        <v>44805</v>
      </c>
      <c r="F521" s="268" t="s">
        <v>4262</v>
      </c>
      <c r="G521" s="269" t="s">
        <v>4076</v>
      </c>
      <c r="H521" s="265" t="s">
        <v>3306</v>
      </c>
      <c r="I521" s="265" t="s">
        <v>146</v>
      </c>
      <c r="J521" s="269" t="s">
        <v>3307</v>
      </c>
      <c r="K521" s="342">
        <v>36219452607</v>
      </c>
      <c r="L521" s="270"/>
      <c r="M521" s="265" t="s">
        <v>3586</v>
      </c>
      <c r="N521" s="302" t="str">
        <f t="shared" ref="N521:N527" si="256">MID(M521,5,3)</f>
        <v>IPU</v>
      </c>
      <c r="O521" s="265" t="s">
        <v>146</v>
      </c>
      <c r="P521" s="271"/>
      <c r="Q521" s="265"/>
      <c r="R521" s="265"/>
      <c r="S521" s="265" t="s">
        <v>146</v>
      </c>
      <c r="T521" s="111" t="s">
        <v>40</v>
      </c>
      <c r="U521" s="269" t="s">
        <v>187</v>
      </c>
      <c r="V521" s="272">
        <v>44809</v>
      </c>
      <c r="W521" s="303" t="e">
        <f t="shared" si="252"/>
        <v>#VALUE!</v>
      </c>
      <c r="X521" s="303" t="e">
        <f t="shared" si="253"/>
        <v>#VALUE!</v>
      </c>
      <c r="Y521" s="265"/>
      <c r="Z521" s="269" t="s">
        <v>4066</v>
      </c>
      <c r="AA521" s="265" t="s">
        <v>215</v>
      </c>
      <c r="AB521" s="272">
        <v>44895</v>
      </c>
      <c r="AC521" s="304" t="s">
        <v>4088</v>
      </c>
      <c r="AD521" s="272">
        <v>44895</v>
      </c>
      <c r="AE521" s="265"/>
      <c r="AF521" s="305" t="str">
        <f t="shared" ref="AF521:AF527" si="257">+IF(AD521="","",TEXT(AD521,"mmm"))</f>
        <v>nov</v>
      </c>
      <c r="AG521" s="306">
        <f t="shared" si="254"/>
        <v>90</v>
      </c>
      <c r="AH521" s="307">
        <f t="shared" si="255"/>
        <v>86</v>
      </c>
      <c r="AI521" s="265"/>
      <c r="AJ521" s="265" t="s">
        <v>155</v>
      </c>
      <c r="AK521" s="265"/>
      <c r="AL521" s="265"/>
      <c r="AM521" s="309"/>
      <c r="AN521" s="269"/>
      <c r="AO521" s="265"/>
      <c r="AP521" s="309"/>
      <c r="AQ521" s="289"/>
      <c r="AR521" s="269"/>
      <c r="AS521" s="265"/>
      <c r="AT521" s="260"/>
      <c r="AU521" s="260"/>
      <c r="AV521" s="200"/>
      <c r="AW521" s="200"/>
      <c r="AX521" s="200"/>
      <c r="AY521" s="200"/>
      <c r="AZ521" s="139">
        <f t="shared" si="222"/>
        <v>1</v>
      </c>
      <c r="BA521" s="200"/>
      <c r="BB521" s="203"/>
      <c r="BC521" s="95"/>
      <c r="BD521" s="2"/>
      <c r="BE521" s="2"/>
    </row>
    <row r="522" spans="2:57" ht="43.9" customHeight="1" x14ac:dyDescent="0.25">
      <c r="B522" s="100">
        <f t="shared" si="218"/>
        <v>504</v>
      </c>
      <c r="C522" s="293" t="s">
        <v>3308</v>
      </c>
      <c r="D522" s="265" t="s">
        <v>28</v>
      </c>
      <c r="E522" s="272">
        <v>44805</v>
      </c>
      <c r="F522" s="268" t="s">
        <v>4262</v>
      </c>
      <c r="G522" s="269" t="s">
        <v>4076</v>
      </c>
      <c r="H522" s="265" t="s">
        <v>3309</v>
      </c>
      <c r="I522" s="265" t="s">
        <v>146</v>
      </c>
      <c r="J522" s="269" t="s">
        <v>3310</v>
      </c>
      <c r="K522" s="342">
        <v>5079331605</v>
      </c>
      <c r="L522" s="270"/>
      <c r="M522" s="265" t="s">
        <v>3587</v>
      </c>
      <c r="N522" s="302" t="str">
        <f t="shared" si="256"/>
        <v>IPU</v>
      </c>
      <c r="O522" s="265" t="s">
        <v>146</v>
      </c>
      <c r="P522" s="271"/>
      <c r="Q522" s="265"/>
      <c r="R522" s="265"/>
      <c r="S522" s="265" t="s">
        <v>146</v>
      </c>
      <c r="T522" s="111" t="s">
        <v>40</v>
      </c>
      <c r="U522" s="269" t="s">
        <v>187</v>
      </c>
      <c r="V522" s="272">
        <v>44809</v>
      </c>
      <c r="W522" s="303" t="e">
        <f t="shared" si="252"/>
        <v>#VALUE!</v>
      </c>
      <c r="X522" s="303" t="e">
        <f t="shared" si="253"/>
        <v>#VALUE!</v>
      </c>
      <c r="Y522" s="265"/>
      <c r="Z522" s="269" t="s">
        <v>4066</v>
      </c>
      <c r="AA522" s="265" t="s">
        <v>215</v>
      </c>
      <c r="AB522" s="272">
        <v>44895</v>
      </c>
      <c r="AC522" s="304" t="s">
        <v>4088</v>
      </c>
      <c r="AD522" s="272">
        <v>44895</v>
      </c>
      <c r="AE522" s="265"/>
      <c r="AF522" s="305" t="str">
        <f t="shared" si="257"/>
        <v>nov</v>
      </c>
      <c r="AG522" s="306">
        <f t="shared" si="254"/>
        <v>90</v>
      </c>
      <c r="AH522" s="307">
        <f t="shared" si="255"/>
        <v>86</v>
      </c>
      <c r="AI522" s="265"/>
      <c r="AJ522" s="265" t="s">
        <v>155</v>
      </c>
      <c r="AK522" s="265"/>
      <c r="AL522" s="265"/>
      <c r="AM522" s="309"/>
      <c r="AN522" s="269"/>
      <c r="AO522" s="265"/>
      <c r="AP522" s="309"/>
      <c r="AQ522" s="289"/>
      <c r="AR522" s="269"/>
      <c r="AS522" s="265"/>
      <c r="AT522" s="260"/>
      <c r="AU522" s="260"/>
      <c r="AV522" s="200"/>
      <c r="AW522" s="200"/>
      <c r="AX522" s="200"/>
      <c r="AY522" s="200"/>
      <c r="AZ522" s="139">
        <f t="shared" si="222"/>
        <v>1</v>
      </c>
      <c r="BA522" s="200"/>
      <c r="BB522" s="203"/>
      <c r="BC522" s="95"/>
      <c r="BD522" s="2"/>
      <c r="BE522" s="2"/>
    </row>
    <row r="523" spans="2:57" ht="43.9" customHeight="1" x14ac:dyDescent="0.25">
      <c r="B523" s="100">
        <f t="shared" si="218"/>
        <v>505</v>
      </c>
      <c r="C523" s="293" t="s">
        <v>3311</v>
      </c>
      <c r="D523" s="265" t="s">
        <v>28</v>
      </c>
      <c r="E523" s="272">
        <v>44805</v>
      </c>
      <c r="F523" s="268" t="s">
        <v>4262</v>
      </c>
      <c r="G523" s="269" t="s">
        <v>3312</v>
      </c>
      <c r="H523" s="265" t="s">
        <v>3313</v>
      </c>
      <c r="I523" s="265" t="s">
        <v>146</v>
      </c>
      <c r="J523" s="269" t="s">
        <v>3314</v>
      </c>
      <c r="K523" s="342">
        <v>20584933</v>
      </c>
      <c r="L523" s="270"/>
      <c r="M523" s="265" t="s">
        <v>3543</v>
      </c>
      <c r="N523" s="302" t="str">
        <f t="shared" si="256"/>
        <v>IP-</v>
      </c>
      <c r="O523" s="265">
        <v>202202266</v>
      </c>
      <c r="P523" s="271"/>
      <c r="Q523" s="265" t="s">
        <v>146</v>
      </c>
      <c r="R523" s="265" t="s">
        <v>146</v>
      </c>
      <c r="S523" s="265" t="s">
        <v>146</v>
      </c>
      <c r="T523" s="111" t="s">
        <v>43</v>
      </c>
      <c r="U523" s="269" t="s">
        <v>2484</v>
      </c>
      <c r="V523" s="272">
        <v>44809</v>
      </c>
      <c r="W523" s="303" t="e">
        <f t="shared" si="252"/>
        <v>#VALUE!</v>
      </c>
      <c r="X523" s="303" t="e">
        <f t="shared" si="253"/>
        <v>#VALUE!</v>
      </c>
      <c r="Y523" s="265" t="s">
        <v>1300</v>
      </c>
      <c r="Z523" s="265" t="s">
        <v>214</v>
      </c>
      <c r="AA523" s="265" t="s">
        <v>215</v>
      </c>
      <c r="AB523" s="265"/>
      <c r="AC523" s="304"/>
      <c r="AD523" s="272">
        <v>44819</v>
      </c>
      <c r="AE523" s="272"/>
      <c r="AF523" s="305" t="str">
        <f t="shared" si="257"/>
        <v>sep</v>
      </c>
      <c r="AG523" s="306">
        <f t="shared" si="254"/>
        <v>14</v>
      </c>
      <c r="AH523" s="307">
        <f t="shared" si="255"/>
        <v>10</v>
      </c>
      <c r="AI523" s="265" t="s">
        <v>258</v>
      </c>
      <c r="AJ523" s="265" t="s">
        <v>171</v>
      </c>
      <c r="AK523" s="265"/>
      <c r="AL523" s="265"/>
      <c r="AM523" s="309"/>
      <c r="AN523" s="269"/>
      <c r="AO523" s="265"/>
      <c r="AP523" s="309"/>
      <c r="AQ523" s="289"/>
      <c r="AR523" s="269"/>
      <c r="AS523" s="265"/>
      <c r="AT523" s="260"/>
      <c r="AU523" s="260"/>
      <c r="AV523" s="200"/>
      <c r="AW523" s="200"/>
      <c r="AX523" s="200"/>
      <c r="AY523" s="200"/>
      <c r="AZ523" s="139">
        <f t="shared" si="222"/>
        <v>1</v>
      </c>
      <c r="BA523" s="200"/>
      <c r="BB523" s="203"/>
      <c r="BC523" s="95"/>
      <c r="BD523" s="2"/>
      <c r="BE523" s="2"/>
    </row>
    <row r="524" spans="2:57" ht="43.9" customHeight="1" x14ac:dyDescent="0.25">
      <c r="B524" s="100">
        <f t="shared" si="218"/>
        <v>506</v>
      </c>
      <c r="C524" s="293" t="s">
        <v>3315</v>
      </c>
      <c r="D524" s="265" t="s">
        <v>28</v>
      </c>
      <c r="E524" s="272">
        <v>44805</v>
      </c>
      <c r="F524" s="268" t="s">
        <v>4262</v>
      </c>
      <c r="G524" s="269" t="s">
        <v>3316</v>
      </c>
      <c r="H524" s="265" t="s">
        <v>3317</v>
      </c>
      <c r="I524" s="265" t="s">
        <v>146</v>
      </c>
      <c r="J524" s="269" t="s">
        <v>3318</v>
      </c>
      <c r="K524" s="342">
        <v>442326099</v>
      </c>
      <c r="L524" s="270"/>
      <c r="M524" s="265" t="s">
        <v>3588</v>
      </c>
      <c r="N524" s="302" t="str">
        <f t="shared" si="256"/>
        <v>IP-</v>
      </c>
      <c r="O524" s="265" t="s">
        <v>3319</v>
      </c>
      <c r="P524" s="323">
        <v>442326099</v>
      </c>
      <c r="Q524" s="265" t="s">
        <v>146</v>
      </c>
      <c r="R524" s="265" t="s">
        <v>146</v>
      </c>
      <c r="S524" s="265" t="s">
        <v>146</v>
      </c>
      <c r="T524" s="111" t="s">
        <v>43</v>
      </c>
      <c r="U524" s="269" t="s">
        <v>452</v>
      </c>
      <c r="V524" s="272">
        <v>44809</v>
      </c>
      <c r="W524" s="303" t="e">
        <f t="shared" si="252"/>
        <v>#VALUE!</v>
      </c>
      <c r="X524" s="303" t="e">
        <f t="shared" si="253"/>
        <v>#VALUE!</v>
      </c>
      <c r="Y524" s="265"/>
      <c r="Z524" s="265" t="s">
        <v>152</v>
      </c>
      <c r="AA524" s="265" t="s">
        <v>153</v>
      </c>
      <c r="AB524" s="272">
        <v>44904</v>
      </c>
      <c r="AC524" s="304" t="s">
        <v>4089</v>
      </c>
      <c r="AD524" s="272">
        <v>44921</v>
      </c>
      <c r="AE524" s="265"/>
      <c r="AF524" s="305" t="str">
        <f t="shared" si="257"/>
        <v>dic</v>
      </c>
      <c r="AG524" s="306">
        <f t="shared" si="254"/>
        <v>116</v>
      </c>
      <c r="AH524" s="307">
        <f t="shared" si="255"/>
        <v>112</v>
      </c>
      <c r="AI524" s="265"/>
      <c r="AJ524" s="265" t="s">
        <v>171</v>
      </c>
      <c r="AK524" s="265"/>
      <c r="AL524" s="265"/>
      <c r="AM524" s="265"/>
      <c r="AN524" s="309"/>
      <c r="AO524" s="269"/>
      <c r="AP524" s="265"/>
      <c r="AQ524" s="309"/>
      <c r="AR524" s="289"/>
      <c r="AS524" s="269"/>
      <c r="AT524" s="265"/>
      <c r="AU524" s="260"/>
      <c r="AV524" s="260"/>
      <c r="AW524" s="200"/>
      <c r="AX524" s="200"/>
      <c r="AY524" s="200"/>
      <c r="AZ524" s="139">
        <f t="shared" si="222"/>
        <v>1</v>
      </c>
      <c r="BA524" s="200"/>
      <c r="BB524" s="200"/>
      <c r="BC524" s="3"/>
      <c r="BD524" s="95"/>
      <c r="BE524" s="2"/>
    </row>
    <row r="525" spans="2:57" ht="43.9" customHeight="1" x14ac:dyDescent="0.25">
      <c r="B525" s="100">
        <f t="shared" si="218"/>
        <v>507</v>
      </c>
      <c r="C525" s="293" t="s">
        <v>3320</v>
      </c>
      <c r="D525" s="265" t="s">
        <v>28</v>
      </c>
      <c r="E525" s="313">
        <v>44805</v>
      </c>
      <c r="F525" s="268" t="s">
        <v>4262</v>
      </c>
      <c r="G525" s="269" t="s">
        <v>3321</v>
      </c>
      <c r="H525" s="265" t="s">
        <v>3322</v>
      </c>
      <c r="I525" s="265" t="s">
        <v>146</v>
      </c>
      <c r="J525" s="269" t="s">
        <v>3323</v>
      </c>
      <c r="K525" s="342">
        <v>195000000</v>
      </c>
      <c r="L525" s="270"/>
      <c r="M525" s="294" t="s">
        <v>3589</v>
      </c>
      <c r="N525" s="302" t="str">
        <f t="shared" si="256"/>
        <v>IP-</v>
      </c>
      <c r="O525" s="265" t="s">
        <v>3324</v>
      </c>
      <c r="P525" s="271"/>
      <c r="Q525" s="265"/>
      <c r="R525" s="265"/>
      <c r="S525" s="265" t="s">
        <v>146</v>
      </c>
      <c r="T525" s="111" t="s">
        <v>43</v>
      </c>
      <c r="U525" s="269" t="s">
        <v>624</v>
      </c>
      <c r="V525" s="272">
        <v>44809</v>
      </c>
      <c r="W525" s="303" t="e">
        <f t="shared" si="252"/>
        <v>#VALUE!</v>
      </c>
      <c r="X525" s="303" t="e">
        <f t="shared" si="253"/>
        <v>#VALUE!</v>
      </c>
      <c r="Y525" s="265"/>
      <c r="Z525" s="265" t="s">
        <v>168</v>
      </c>
      <c r="AA525" s="265" t="s">
        <v>169</v>
      </c>
      <c r="AB525" s="272">
        <v>44914</v>
      </c>
      <c r="AC525" s="304" t="s">
        <v>4090</v>
      </c>
      <c r="AD525" s="272">
        <v>44914</v>
      </c>
      <c r="AE525" s="272" t="s">
        <v>4264</v>
      </c>
      <c r="AF525" s="305" t="str">
        <f t="shared" si="257"/>
        <v>dic</v>
      </c>
      <c r="AG525" s="306">
        <f t="shared" si="254"/>
        <v>109</v>
      </c>
      <c r="AH525" s="307">
        <f t="shared" si="255"/>
        <v>105</v>
      </c>
      <c r="AI525" s="265" t="s">
        <v>258</v>
      </c>
      <c r="AJ525" s="265" t="s">
        <v>155</v>
      </c>
      <c r="AK525" s="265" t="s">
        <v>4251</v>
      </c>
      <c r="AL525" s="272">
        <v>44902</v>
      </c>
      <c r="AM525" s="309">
        <v>188980319</v>
      </c>
      <c r="AN525" s="269" t="s">
        <v>4252</v>
      </c>
      <c r="AO525" s="265" t="s">
        <v>4253</v>
      </c>
      <c r="AP525" s="181">
        <f t="shared" ref="AP525:AP528" si="258">+K525-AM525</f>
        <v>6019681</v>
      </c>
      <c r="AQ525" s="200"/>
      <c r="AR525" s="289"/>
      <c r="AS525" s="269"/>
      <c r="AT525" s="265"/>
      <c r="AU525" s="260"/>
      <c r="AV525" s="194"/>
      <c r="AW525" s="193"/>
      <c r="AX525" s="167"/>
      <c r="AY525" s="167">
        <f t="shared" ref="AY525:AY528" si="259">+AP525/K525</f>
        <v>3.0870158974358974E-2</v>
      </c>
      <c r="AZ525" s="139">
        <f t="shared" si="222"/>
        <v>1</v>
      </c>
      <c r="BA525" s="139">
        <f t="shared" ref="BA525:BA527" si="260">IF(T525="Invitación Privada",1,IF(T525="Invitación Pública",2,0))</f>
        <v>1</v>
      </c>
      <c r="BB525" s="132">
        <f>IF(AA525="CONTRATADO",IF(BA525=1,NETWORKDAYS.INTL(E525,AD525,1,[1]FESTIVOS!$B$3:$B$10)-1,AD525-E525))-BD525</f>
        <v>50</v>
      </c>
      <c r="BD525" s="3">
        <v>27</v>
      </c>
      <c r="BE525" s="95" t="s">
        <v>4229</v>
      </c>
    </row>
    <row r="526" spans="2:57" ht="43.9" customHeight="1" x14ac:dyDescent="0.25">
      <c r="B526" s="100">
        <f t="shared" si="218"/>
        <v>508</v>
      </c>
      <c r="C526" s="293" t="s">
        <v>3325</v>
      </c>
      <c r="D526" s="265" t="s">
        <v>28</v>
      </c>
      <c r="E526" s="313">
        <v>44805</v>
      </c>
      <c r="F526" s="268" t="s">
        <v>4262</v>
      </c>
      <c r="G526" s="269" t="s">
        <v>3326</v>
      </c>
      <c r="H526" s="265" t="s">
        <v>3327</v>
      </c>
      <c r="I526" s="265" t="s">
        <v>146</v>
      </c>
      <c r="J526" s="269" t="s">
        <v>3328</v>
      </c>
      <c r="K526" s="342">
        <v>173375027</v>
      </c>
      <c r="L526" s="270"/>
      <c r="M526" s="265" t="s">
        <v>3591</v>
      </c>
      <c r="N526" s="302" t="str">
        <f t="shared" si="256"/>
        <v>IP-</v>
      </c>
      <c r="O526" s="265" t="s">
        <v>3329</v>
      </c>
      <c r="P526" s="271"/>
      <c r="Q526" s="265" t="s">
        <v>146</v>
      </c>
      <c r="R526" s="265" t="s">
        <v>146</v>
      </c>
      <c r="S526" s="265" t="s">
        <v>146</v>
      </c>
      <c r="T526" s="111" t="s">
        <v>43</v>
      </c>
      <c r="U526" s="269" t="s">
        <v>29</v>
      </c>
      <c r="V526" s="272">
        <v>44809</v>
      </c>
      <c r="W526" s="303" t="e">
        <f t="shared" si="252"/>
        <v>#VALUE!</v>
      </c>
      <c r="X526" s="303" t="e">
        <f t="shared" si="253"/>
        <v>#VALUE!</v>
      </c>
      <c r="Y526" s="265"/>
      <c r="Z526" s="265" t="s">
        <v>168</v>
      </c>
      <c r="AA526" s="265" t="s">
        <v>169</v>
      </c>
      <c r="AB526" s="272">
        <v>44895</v>
      </c>
      <c r="AC526" s="304" t="s">
        <v>3590</v>
      </c>
      <c r="AD526" s="272">
        <v>44895</v>
      </c>
      <c r="AE526" s="272" t="s">
        <v>4264</v>
      </c>
      <c r="AF526" s="305" t="str">
        <f t="shared" si="257"/>
        <v>nov</v>
      </c>
      <c r="AG526" s="306">
        <f t="shared" si="254"/>
        <v>90</v>
      </c>
      <c r="AH526" s="307">
        <f t="shared" si="255"/>
        <v>86</v>
      </c>
      <c r="AI526" s="265" t="s">
        <v>258</v>
      </c>
      <c r="AJ526" s="265" t="s">
        <v>171</v>
      </c>
      <c r="AK526" s="265" t="s">
        <v>4254</v>
      </c>
      <c r="AL526" s="272">
        <v>44895</v>
      </c>
      <c r="AM526" s="309">
        <v>168762268</v>
      </c>
      <c r="AN526" s="269" t="s">
        <v>3044</v>
      </c>
      <c r="AO526" s="265"/>
      <c r="AP526" s="181">
        <f t="shared" si="258"/>
        <v>4612759</v>
      </c>
      <c r="AQ526" s="200"/>
      <c r="AR526" s="289"/>
      <c r="AS526" s="269"/>
      <c r="AT526" s="265"/>
      <c r="AU526" s="260"/>
      <c r="AV526" s="194"/>
      <c r="AW526" s="193"/>
      <c r="AX526" s="167"/>
      <c r="AY526" s="167">
        <f t="shared" si="259"/>
        <v>2.6605671415410939E-2</v>
      </c>
      <c r="AZ526" s="139">
        <f t="shared" si="222"/>
        <v>1</v>
      </c>
      <c r="BA526" s="139">
        <f t="shared" si="260"/>
        <v>1</v>
      </c>
      <c r="BB526" s="132">
        <f>IF(AA526="CONTRATADO",IF(BA526=1,NETWORKDAYS.INTL(E526,AD526,1,[1]FESTIVOS!$B$3:$B$10)-1,AD526-E526))-BD526</f>
        <v>37</v>
      </c>
      <c r="BD526" s="3">
        <v>27</v>
      </c>
      <c r="BE526" s="95" t="s">
        <v>4229</v>
      </c>
    </row>
    <row r="527" spans="2:57" ht="43.9" customHeight="1" x14ac:dyDescent="0.25">
      <c r="B527" s="100">
        <f t="shared" si="218"/>
        <v>509</v>
      </c>
      <c r="C527" s="293" t="s">
        <v>162</v>
      </c>
      <c r="D527" s="265" t="s">
        <v>28</v>
      </c>
      <c r="E527" s="313">
        <v>44805</v>
      </c>
      <c r="F527" s="268" t="s">
        <v>4262</v>
      </c>
      <c r="G527" s="269" t="s">
        <v>3330</v>
      </c>
      <c r="H527" s="265" t="s">
        <v>3331</v>
      </c>
      <c r="I527" s="265" t="s">
        <v>146</v>
      </c>
      <c r="J527" s="269" t="s">
        <v>3332</v>
      </c>
      <c r="K527" s="342">
        <v>238618909</v>
      </c>
      <c r="L527" s="270"/>
      <c r="M527" s="265" t="s">
        <v>3592</v>
      </c>
      <c r="N527" s="302" t="str">
        <f t="shared" si="256"/>
        <v>IP-</v>
      </c>
      <c r="O527" s="265" t="s">
        <v>3333</v>
      </c>
      <c r="P527" s="271"/>
      <c r="Q527" s="265" t="s">
        <v>146</v>
      </c>
      <c r="R527" s="265" t="s">
        <v>146</v>
      </c>
      <c r="S527" s="265" t="s">
        <v>146</v>
      </c>
      <c r="T527" s="111" t="s">
        <v>43</v>
      </c>
      <c r="U527" s="269" t="s">
        <v>29</v>
      </c>
      <c r="V527" s="272">
        <v>44809</v>
      </c>
      <c r="W527" s="303" t="e">
        <f t="shared" si="252"/>
        <v>#VALUE!</v>
      </c>
      <c r="X527" s="303" t="e">
        <f t="shared" si="253"/>
        <v>#VALUE!</v>
      </c>
      <c r="Y527" s="265"/>
      <c r="Z527" s="265" t="s">
        <v>168</v>
      </c>
      <c r="AA527" s="265" t="s">
        <v>169</v>
      </c>
      <c r="AB527" s="272">
        <v>44895</v>
      </c>
      <c r="AC527" s="304" t="s">
        <v>3590</v>
      </c>
      <c r="AD527" s="272">
        <v>44910</v>
      </c>
      <c r="AE527" s="272" t="s">
        <v>4264</v>
      </c>
      <c r="AF527" s="305" t="str">
        <f t="shared" si="257"/>
        <v>dic</v>
      </c>
      <c r="AG527" s="306">
        <f t="shared" si="254"/>
        <v>105</v>
      </c>
      <c r="AH527" s="307">
        <f t="shared" si="255"/>
        <v>101</v>
      </c>
      <c r="AI527" s="265" t="s">
        <v>258</v>
      </c>
      <c r="AJ527" s="265" t="s">
        <v>171</v>
      </c>
      <c r="AK527" s="265" t="s">
        <v>4255</v>
      </c>
      <c r="AL527" s="272">
        <v>44902</v>
      </c>
      <c r="AM527" s="309">
        <v>237158472</v>
      </c>
      <c r="AN527" s="269" t="s">
        <v>4256</v>
      </c>
      <c r="AO527" s="265"/>
      <c r="AP527" s="181">
        <f t="shared" si="258"/>
        <v>1460437</v>
      </c>
      <c r="AQ527" s="200"/>
      <c r="AR527" s="289"/>
      <c r="AS527" s="269"/>
      <c r="AT527" s="265"/>
      <c r="AU527" s="260"/>
      <c r="AV527" s="194"/>
      <c r="AW527" s="193"/>
      <c r="AX527" s="167"/>
      <c r="AY527" s="167">
        <f t="shared" si="259"/>
        <v>6.1203741401734428E-3</v>
      </c>
      <c r="AZ527" s="139">
        <f t="shared" si="222"/>
        <v>1</v>
      </c>
      <c r="BA527" s="139">
        <f t="shared" si="260"/>
        <v>1</v>
      </c>
      <c r="BB527" s="132">
        <f>IF(AA527="CONTRATADO",IF(BA527=1,NETWORKDAYS.INTL(E527,AD527,1,[1]FESTIVOS!$B$3:$B$10)-1,AD527-E527))-BD527</f>
        <v>48</v>
      </c>
      <c r="BD527" s="3">
        <v>27</v>
      </c>
      <c r="BE527" s="95" t="s">
        <v>4229</v>
      </c>
    </row>
    <row r="528" spans="2:57" ht="43.9" customHeight="1" x14ac:dyDescent="0.25">
      <c r="B528" s="100">
        <f t="shared" si="218"/>
        <v>510</v>
      </c>
      <c r="C528" s="110" t="s">
        <v>3334</v>
      </c>
      <c r="D528" s="99" t="s">
        <v>28</v>
      </c>
      <c r="E528" s="197">
        <v>44806</v>
      </c>
      <c r="F528" s="268" t="s">
        <v>4262</v>
      </c>
      <c r="G528" s="188" t="s">
        <v>3335</v>
      </c>
      <c r="H528" s="188" t="s">
        <v>3336</v>
      </c>
      <c r="I528" s="96" t="s">
        <v>146</v>
      </c>
      <c r="J528" s="188" t="s">
        <v>2288</v>
      </c>
      <c r="K528" s="351">
        <v>412536670</v>
      </c>
      <c r="L528" s="188" t="s">
        <v>3020</v>
      </c>
      <c r="M528" s="188" t="s">
        <v>3838</v>
      </c>
      <c r="N528" s="188"/>
      <c r="O528" s="194" t="s">
        <v>3337</v>
      </c>
      <c r="P528" s="198">
        <v>412536670</v>
      </c>
      <c r="Q528" s="194" t="s">
        <v>146</v>
      </c>
      <c r="R528" s="194" t="s">
        <v>146</v>
      </c>
      <c r="S528" s="99" t="s">
        <v>146</v>
      </c>
      <c r="T528" s="111" t="s">
        <v>43</v>
      </c>
      <c r="U528" s="96" t="s">
        <v>151</v>
      </c>
      <c r="V528" s="199">
        <v>44806</v>
      </c>
      <c r="W528" s="186" t="e">
        <f t="shared" si="252"/>
        <v>#VALUE!</v>
      </c>
      <c r="X528" s="99" t="e">
        <f t="shared" si="253"/>
        <v>#VALUE!</v>
      </c>
      <c r="Y528" s="194" t="s">
        <v>1317</v>
      </c>
      <c r="Z528" s="99" t="s">
        <v>168</v>
      </c>
      <c r="AA528" s="99" t="s">
        <v>169</v>
      </c>
      <c r="AB528" s="188"/>
      <c r="AC528" s="194"/>
      <c r="AD528" s="199">
        <v>44818</v>
      </c>
      <c r="AE528" s="183" t="s">
        <v>4262</v>
      </c>
      <c r="AF528" s="183"/>
      <c r="AG528" s="186">
        <f t="shared" si="254"/>
        <v>12</v>
      </c>
      <c r="AH528" s="187">
        <f t="shared" si="255"/>
        <v>12</v>
      </c>
      <c r="AI528" s="194" t="s">
        <v>258</v>
      </c>
      <c r="AJ528" s="188" t="s">
        <v>491</v>
      </c>
      <c r="AK528" s="194" t="s">
        <v>3839</v>
      </c>
      <c r="AL528" s="199">
        <v>44813</v>
      </c>
      <c r="AM528" s="204">
        <v>412536670</v>
      </c>
      <c r="AN528" s="188" t="s">
        <v>3840</v>
      </c>
      <c r="AO528" s="194">
        <v>202208360</v>
      </c>
      <c r="AP528" s="181">
        <f t="shared" si="258"/>
        <v>0</v>
      </c>
      <c r="AQ528" s="193"/>
      <c r="AR528" s="193"/>
      <c r="AS528" s="194"/>
      <c r="AT528" s="194"/>
      <c r="AU528" s="193"/>
      <c r="AV528" s="194" t="s">
        <v>3841</v>
      </c>
      <c r="AW528" s="194" t="s">
        <v>1002</v>
      </c>
      <c r="AX528" s="193"/>
      <c r="AY528" s="167">
        <f t="shared" si="259"/>
        <v>0</v>
      </c>
      <c r="AZ528" s="139">
        <f t="shared" si="222"/>
        <v>1</v>
      </c>
      <c r="BA528" s="139">
        <f>IF(T528="Invitación Privada",1,IF(T528="Invitación Pública",2,0))</f>
        <v>1</v>
      </c>
      <c r="BB528" s="132">
        <f>IF(AA528="CONTRATADO",IF(BA528=1,NETWORKDAYS.INTL(E528,AD528,1,[1]FESTIVOS!$B$3:$B$10)-1,AD528-E528))-BD528</f>
        <v>8</v>
      </c>
    </row>
    <row r="529" spans="2:57" ht="43.9" customHeight="1" x14ac:dyDescent="0.25">
      <c r="B529" s="100">
        <f t="shared" si="218"/>
        <v>511</v>
      </c>
      <c r="C529" s="293" t="s">
        <v>3338</v>
      </c>
      <c r="D529" s="312" t="s">
        <v>32</v>
      </c>
      <c r="E529" s="272">
        <v>44806</v>
      </c>
      <c r="F529" s="268" t="s">
        <v>4262</v>
      </c>
      <c r="G529" s="269" t="s">
        <v>3339</v>
      </c>
      <c r="H529" s="265" t="s">
        <v>3340</v>
      </c>
      <c r="I529" s="265" t="s">
        <v>146</v>
      </c>
      <c r="J529" s="269" t="s">
        <v>3341</v>
      </c>
      <c r="K529" s="342">
        <v>20000000</v>
      </c>
      <c r="L529" s="270"/>
      <c r="M529" s="265" t="s">
        <v>3593</v>
      </c>
      <c r="N529" s="302" t="str">
        <f>MID(M529,5,3)</f>
        <v>IP-</v>
      </c>
      <c r="O529" s="265">
        <v>202205452</v>
      </c>
      <c r="P529" s="271"/>
      <c r="Q529" s="265" t="s">
        <v>146</v>
      </c>
      <c r="R529" s="265" t="s">
        <v>146</v>
      </c>
      <c r="S529" s="265" t="s">
        <v>146</v>
      </c>
      <c r="T529" s="111" t="s">
        <v>43</v>
      </c>
      <c r="U529" s="269" t="s">
        <v>29</v>
      </c>
      <c r="V529" s="272">
        <v>44809</v>
      </c>
      <c r="W529" s="303" t="e">
        <f t="shared" si="252"/>
        <v>#VALUE!</v>
      </c>
      <c r="X529" s="303" t="e">
        <f t="shared" si="253"/>
        <v>#VALUE!</v>
      </c>
      <c r="Y529" s="265" t="s">
        <v>1300</v>
      </c>
      <c r="Z529" s="265" t="s">
        <v>214</v>
      </c>
      <c r="AA529" s="265" t="s">
        <v>215</v>
      </c>
      <c r="AB529" s="272">
        <v>44880</v>
      </c>
      <c r="AC529" s="304" t="s">
        <v>4030</v>
      </c>
      <c r="AD529" s="272">
        <v>44880</v>
      </c>
      <c r="AE529" s="265"/>
      <c r="AF529" s="305" t="str">
        <f>+IF(AD529="","",TEXT(AD529,"mmm"))</f>
        <v>nov</v>
      </c>
      <c r="AG529" s="306">
        <f t="shared" si="254"/>
        <v>74</v>
      </c>
      <c r="AH529" s="307">
        <f t="shared" si="255"/>
        <v>71</v>
      </c>
      <c r="AI529" s="265"/>
      <c r="AJ529" s="265" t="s">
        <v>171</v>
      </c>
      <c r="AK529" s="265"/>
      <c r="AL529" s="265"/>
      <c r="AM529" s="309"/>
      <c r="AN529" s="269"/>
      <c r="AO529" s="265"/>
      <c r="AP529" s="309"/>
      <c r="AQ529" s="289"/>
      <c r="AR529" s="269"/>
      <c r="AS529" s="265"/>
      <c r="AT529" s="260"/>
      <c r="AU529" s="260"/>
      <c r="AV529" s="200"/>
      <c r="AW529" s="200"/>
      <c r="AX529" s="200"/>
      <c r="AY529" s="200"/>
      <c r="AZ529" s="139">
        <f t="shared" si="222"/>
        <v>1</v>
      </c>
      <c r="BA529" s="200"/>
      <c r="BB529" s="203"/>
      <c r="BC529" s="95"/>
      <c r="BD529" s="2"/>
      <c r="BE529" s="2"/>
    </row>
    <row r="530" spans="2:57" ht="43.9" customHeight="1" x14ac:dyDescent="0.25">
      <c r="B530" s="100">
        <f t="shared" si="218"/>
        <v>512</v>
      </c>
      <c r="C530" s="293" t="s">
        <v>3342</v>
      </c>
      <c r="D530" s="265" t="s">
        <v>3220</v>
      </c>
      <c r="E530" s="272">
        <v>44809</v>
      </c>
      <c r="F530" s="268" t="s">
        <v>4262</v>
      </c>
      <c r="G530" s="269" t="s">
        <v>3221</v>
      </c>
      <c r="H530" s="265" t="s">
        <v>3222</v>
      </c>
      <c r="I530" s="265" t="s">
        <v>146</v>
      </c>
      <c r="J530" s="269" t="s">
        <v>3343</v>
      </c>
      <c r="K530" s="342">
        <v>43500000</v>
      </c>
      <c r="L530" s="270"/>
      <c r="M530" s="265" t="s">
        <v>3594</v>
      </c>
      <c r="N530" s="302" t="str">
        <f>MID(M530,5,3)</f>
        <v>IP-</v>
      </c>
      <c r="O530" s="265">
        <v>202201388</v>
      </c>
      <c r="P530" s="271"/>
      <c r="Q530" s="265" t="s">
        <v>146</v>
      </c>
      <c r="R530" s="265" t="s">
        <v>146</v>
      </c>
      <c r="S530" s="265" t="s">
        <v>146</v>
      </c>
      <c r="T530" s="111" t="s">
        <v>43</v>
      </c>
      <c r="U530" s="269" t="s">
        <v>2849</v>
      </c>
      <c r="V530" s="272">
        <v>44809</v>
      </c>
      <c r="W530" s="303" t="e">
        <f t="shared" si="252"/>
        <v>#VALUE!</v>
      </c>
      <c r="X530" s="303" t="e">
        <f t="shared" si="253"/>
        <v>#VALUE!</v>
      </c>
      <c r="Y530" s="265" t="s">
        <v>1300</v>
      </c>
      <c r="Z530" s="265" t="s">
        <v>214</v>
      </c>
      <c r="AA530" s="265" t="s">
        <v>215</v>
      </c>
      <c r="AB530" s="272">
        <v>44889</v>
      </c>
      <c r="AC530" s="304" t="s">
        <v>4031</v>
      </c>
      <c r="AD530" s="272">
        <v>44882</v>
      </c>
      <c r="AE530" s="265"/>
      <c r="AF530" s="305" t="str">
        <f>+IF(AD530="","",TEXT(AD530,"mmm"))</f>
        <v>nov</v>
      </c>
      <c r="AG530" s="306">
        <f t="shared" si="254"/>
        <v>73</v>
      </c>
      <c r="AH530" s="307">
        <f t="shared" si="255"/>
        <v>73</v>
      </c>
      <c r="AI530" s="265" t="s">
        <v>258</v>
      </c>
      <c r="AJ530" s="265" t="s">
        <v>171</v>
      </c>
      <c r="AK530" s="265"/>
      <c r="AL530" s="265"/>
      <c r="AM530" s="309"/>
      <c r="AN530" s="269"/>
      <c r="AO530" s="265"/>
      <c r="AP530" s="309"/>
      <c r="AQ530" s="289"/>
      <c r="AR530" s="269"/>
      <c r="AS530" s="265"/>
      <c r="AT530" s="260"/>
      <c r="AU530" s="260"/>
      <c r="AV530" s="200"/>
      <c r="AW530" s="200"/>
      <c r="AX530" s="200"/>
      <c r="AY530" s="200"/>
      <c r="AZ530" s="139">
        <f t="shared" si="222"/>
        <v>0</v>
      </c>
      <c r="BA530" s="200"/>
      <c r="BB530" s="203"/>
      <c r="BC530" s="95"/>
      <c r="BD530" s="2"/>
      <c r="BE530" s="2"/>
    </row>
    <row r="531" spans="2:57" ht="43.9" customHeight="1" x14ac:dyDescent="0.25">
      <c r="B531" s="100">
        <f t="shared" si="218"/>
        <v>513</v>
      </c>
      <c r="C531" s="293" t="s">
        <v>3344</v>
      </c>
      <c r="D531" s="265" t="s">
        <v>332</v>
      </c>
      <c r="E531" s="272">
        <v>44809</v>
      </c>
      <c r="F531" s="268" t="s">
        <v>4262</v>
      </c>
      <c r="G531" s="269" t="s">
        <v>3345</v>
      </c>
      <c r="H531" s="265" t="s">
        <v>3346</v>
      </c>
      <c r="I531" s="265" t="s">
        <v>146</v>
      </c>
      <c r="J531" s="269" t="s">
        <v>3347</v>
      </c>
      <c r="K531" s="342">
        <v>200457042</v>
      </c>
      <c r="L531" s="270"/>
      <c r="M531" s="265" t="s">
        <v>3595</v>
      </c>
      <c r="N531" s="302" t="str">
        <f>MID(M531,5,3)</f>
        <v>IP-</v>
      </c>
      <c r="O531" s="265">
        <v>202201122</v>
      </c>
      <c r="P531" s="271"/>
      <c r="Q531" s="265" t="s">
        <v>146</v>
      </c>
      <c r="R531" s="265" t="s">
        <v>146</v>
      </c>
      <c r="S531" s="265" t="s">
        <v>146</v>
      </c>
      <c r="T531" s="111" t="s">
        <v>43</v>
      </c>
      <c r="U531" s="269" t="s">
        <v>4036</v>
      </c>
      <c r="V531" s="272">
        <v>44810</v>
      </c>
      <c r="W531" s="303" t="e">
        <f t="shared" si="252"/>
        <v>#VALUE!</v>
      </c>
      <c r="X531" s="303" t="e">
        <f t="shared" si="253"/>
        <v>#VALUE!</v>
      </c>
      <c r="Y531" s="265"/>
      <c r="Z531" s="265" t="s">
        <v>152</v>
      </c>
      <c r="AA531" s="265" t="s">
        <v>153</v>
      </c>
      <c r="AB531" s="272">
        <v>44895</v>
      </c>
      <c r="AC531" s="304" t="s">
        <v>3596</v>
      </c>
      <c r="AD531" s="272">
        <v>44893</v>
      </c>
      <c r="AE531" s="265"/>
      <c r="AF531" s="305" t="str">
        <f>+IF(AD531="","",TEXT(AD531,"mmm"))</f>
        <v>nov</v>
      </c>
      <c r="AG531" s="306">
        <f t="shared" si="254"/>
        <v>84</v>
      </c>
      <c r="AH531" s="307">
        <f t="shared" si="255"/>
        <v>83</v>
      </c>
      <c r="AI531" s="265" t="s">
        <v>258</v>
      </c>
      <c r="AJ531" s="265" t="s">
        <v>171</v>
      </c>
      <c r="AK531" s="265"/>
      <c r="AL531" s="265"/>
      <c r="AM531" s="265"/>
      <c r="AN531" s="309"/>
      <c r="AO531" s="269"/>
      <c r="AP531" s="265"/>
      <c r="AQ531" s="309"/>
      <c r="AR531" s="289"/>
      <c r="AS531" s="269"/>
      <c r="AT531" s="265"/>
      <c r="AU531" s="260"/>
      <c r="AV531" s="260"/>
      <c r="AW531" s="200"/>
      <c r="AX531" s="200"/>
      <c r="AY531" s="200"/>
      <c r="AZ531" s="139">
        <f t="shared" si="222"/>
        <v>0</v>
      </c>
      <c r="BA531" s="200"/>
      <c r="BB531" s="200"/>
      <c r="BC531" s="3"/>
      <c r="BD531" s="95"/>
      <c r="BE531" s="2"/>
    </row>
    <row r="532" spans="2:57" ht="43.9" customHeight="1" x14ac:dyDescent="0.25">
      <c r="B532" s="100">
        <f t="shared" ref="B532:B595" si="261">+B531+1</f>
        <v>514</v>
      </c>
      <c r="C532" s="110" t="s">
        <v>3348</v>
      </c>
      <c r="D532" s="99" t="s">
        <v>332</v>
      </c>
      <c r="E532" s="197">
        <v>44809</v>
      </c>
      <c r="F532" s="268" t="s">
        <v>4262</v>
      </c>
      <c r="G532" s="188" t="s">
        <v>3349</v>
      </c>
      <c r="H532" s="188" t="s">
        <v>3350</v>
      </c>
      <c r="I532" s="188" t="s">
        <v>465</v>
      </c>
      <c r="J532" s="188" t="s">
        <v>3351</v>
      </c>
      <c r="K532" s="351">
        <v>859987508</v>
      </c>
      <c r="L532" s="188" t="s">
        <v>228</v>
      </c>
      <c r="M532" s="188" t="s">
        <v>146</v>
      </c>
      <c r="N532" s="188"/>
      <c r="O532" s="194">
        <v>202204461</v>
      </c>
      <c r="P532" s="185">
        <v>859987508</v>
      </c>
      <c r="Q532" s="194" t="s">
        <v>146</v>
      </c>
      <c r="R532" s="194" t="s">
        <v>146</v>
      </c>
      <c r="S532" s="99" t="s">
        <v>146</v>
      </c>
      <c r="T532" s="96" t="s">
        <v>230</v>
      </c>
      <c r="U532" s="96" t="s">
        <v>42</v>
      </c>
      <c r="V532" s="197">
        <v>44809</v>
      </c>
      <c r="W532" s="186" t="e">
        <f t="shared" si="252"/>
        <v>#VALUE!</v>
      </c>
      <c r="X532" s="99" t="e">
        <f t="shared" si="253"/>
        <v>#VALUE!</v>
      </c>
      <c r="Y532" s="194" t="s">
        <v>1317</v>
      </c>
      <c r="Z532" s="99" t="s">
        <v>168</v>
      </c>
      <c r="AA532" s="99" t="s">
        <v>169</v>
      </c>
      <c r="AB532" s="188"/>
      <c r="AC532" s="194"/>
      <c r="AD532" s="199">
        <v>44830</v>
      </c>
      <c r="AE532" s="183" t="s">
        <v>4262</v>
      </c>
      <c r="AF532" s="183"/>
      <c r="AG532" s="186">
        <f t="shared" si="254"/>
        <v>21</v>
      </c>
      <c r="AH532" s="187">
        <f t="shared" si="255"/>
        <v>21</v>
      </c>
      <c r="AI532" s="194" t="s">
        <v>146</v>
      </c>
      <c r="AJ532" s="188" t="s">
        <v>171</v>
      </c>
      <c r="AK532" s="188" t="s">
        <v>3842</v>
      </c>
      <c r="AL532" s="199">
        <v>44819</v>
      </c>
      <c r="AM532" s="204">
        <v>818754201</v>
      </c>
      <c r="AN532" s="188" t="s">
        <v>1025</v>
      </c>
      <c r="AO532" s="194">
        <v>202208536</v>
      </c>
      <c r="AP532" s="181">
        <f t="shared" ref="AP532" si="262">+K532-AM532</f>
        <v>41233307</v>
      </c>
      <c r="AQ532" s="193"/>
      <c r="AR532" s="193"/>
      <c r="AS532" s="194"/>
      <c r="AT532" s="194"/>
      <c r="AU532" s="193"/>
      <c r="AV532" s="194" t="s">
        <v>174</v>
      </c>
      <c r="AW532" s="194" t="s">
        <v>3843</v>
      </c>
      <c r="AX532" s="193"/>
      <c r="AY532" s="167">
        <f>+AP532/K532</f>
        <v>4.7946402263322176E-2</v>
      </c>
      <c r="AZ532" s="139">
        <f t="shared" si="222"/>
        <v>0</v>
      </c>
      <c r="BA532" s="139">
        <f>IF(T532="Invitación Privada",1,IF(T532="Invitación Pública",2,0))</f>
        <v>0</v>
      </c>
      <c r="BB532" s="132">
        <f>IF(AA532="CONTRATADO",IF(BA532=1,NETWORKDAYS.INTL(E532,AD532,1,[1]FESTIVOS!$B$3:$B$10)-1,AD532-E532))-BD532</f>
        <v>21</v>
      </c>
      <c r="BD532" s="207"/>
      <c r="BE532" s="208"/>
    </row>
    <row r="533" spans="2:57" ht="43.9" customHeight="1" x14ac:dyDescent="0.25">
      <c r="B533" s="100">
        <f t="shared" si="261"/>
        <v>515</v>
      </c>
      <c r="C533" s="293" t="s">
        <v>3352</v>
      </c>
      <c r="D533" s="265" t="s">
        <v>1559</v>
      </c>
      <c r="E533" s="272">
        <v>44809</v>
      </c>
      <c r="F533" s="268" t="s">
        <v>4262</v>
      </c>
      <c r="G533" s="269" t="s">
        <v>3278</v>
      </c>
      <c r="H533" s="265" t="s">
        <v>3353</v>
      </c>
      <c r="I533" s="265" t="s">
        <v>146</v>
      </c>
      <c r="J533" s="269" t="s">
        <v>3354</v>
      </c>
      <c r="K533" s="342">
        <v>8356062</v>
      </c>
      <c r="L533" s="270"/>
      <c r="M533" s="265" t="s">
        <v>4032</v>
      </c>
      <c r="N533" s="302" t="str">
        <f>MID(M533,5,3)</f>
        <v>IP-</v>
      </c>
      <c r="O533" s="265" t="s">
        <v>3355</v>
      </c>
      <c r="P533" s="271"/>
      <c r="Q533" s="265"/>
      <c r="R533" s="265"/>
      <c r="S533" s="265" t="s">
        <v>146</v>
      </c>
      <c r="T533" s="111" t="s">
        <v>43</v>
      </c>
      <c r="U533" s="269" t="s">
        <v>921</v>
      </c>
      <c r="V533" s="272">
        <v>44810</v>
      </c>
      <c r="W533" s="303" t="e">
        <f t="shared" si="252"/>
        <v>#VALUE!</v>
      </c>
      <c r="X533" s="303" t="e">
        <f t="shared" si="253"/>
        <v>#VALUE!</v>
      </c>
      <c r="Y533" s="265" t="s">
        <v>1300</v>
      </c>
      <c r="Z533" s="265" t="s">
        <v>214</v>
      </c>
      <c r="AA533" s="265" t="s">
        <v>215</v>
      </c>
      <c r="AB533" s="272">
        <v>44875</v>
      </c>
      <c r="AC533" s="304" t="s">
        <v>4033</v>
      </c>
      <c r="AD533" s="272">
        <v>44876</v>
      </c>
      <c r="AE533" s="265"/>
      <c r="AF533" s="305" t="str">
        <f>+IF(AD533="","",TEXT(AD533,"mmm"))</f>
        <v>nov</v>
      </c>
      <c r="AG533" s="306">
        <f t="shared" si="254"/>
        <v>67</v>
      </c>
      <c r="AH533" s="307">
        <f t="shared" si="255"/>
        <v>66</v>
      </c>
      <c r="AI533" s="265"/>
      <c r="AJ533" s="265" t="s">
        <v>171</v>
      </c>
      <c r="AK533" s="265"/>
      <c r="AL533" s="265"/>
      <c r="AM533" s="309"/>
      <c r="AN533" s="269"/>
      <c r="AO533" s="265"/>
      <c r="AP533" s="309"/>
      <c r="AQ533" s="289"/>
      <c r="AR533" s="269"/>
      <c r="AS533" s="265"/>
      <c r="AT533" s="260"/>
      <c r="AU533" s="260"/>
      <c r="AV533" s="200"/>
      <c r="AW533" s="200"/>
      <c r="AX533" s="200"/>
      <c r="AY533" s="200"/>
      <c r="AZ533" s="139">
        <f t="shared" si="222"/>
        <v>0</v>
      </c>
      <c r="BA533" s="200"/>
      <c r="BB533" s="203"/>
      <c r="BC533" s="95"/>
      <c r="BD533" s="2"/>
      <c r="BE533" s="2"/>
    </row>
    <row r="534" spans="2:57" ht="43.9" customHeight="1" x14ac:dyDescent="0.25">
      <c r="B534" s="100">
        <f t="shared" si="261"/>
        <v>516</v>
      </c>
      <c r="C534" s="293" t="s">
        <v>176</v>
      </c>
      <c r="D534" s="265" t="s">
        <v>1559</v>
      </c>
      <c r="E534" s="272">
        <v>44810</v>
      </c>
      <c r="F534" s="268" t="s">
        <v>4262</v>
      </c>
      <c r="G534" s="269" t="s">
        <v>3356</v>
      </c>
      <c r="H534" s="265" t="s">
        <v>3357</v>
      </c>
      <c r="I534" s="265" t="s">
        <v>146</v>
      </c>
      <c r="J534" s="269" t="s">
        <v>3358</v>
      </c>
      <c r="K534" s="342">
        <v>1500000000</v>
      </c>
      <c r="L534" s="270"/>
      <c r="M534" s="265" t="s">
        <v>3597</v>
      </c>
      <c r="N534" s="302" t="str">
        <f>MID(M534,5,3)</f>
        <v>IPU</v>
      </c>
      <c r="O534" s="265">
        <v>202202659</v>
      </c>
      <c r="P534" s="271"/>
      <c r="Q534" s="265" t="s">
        <v>146</v>
      </c>
      <c r="R534" s="265" t="s">
        <v>146</v>
      </c>
      <c r="S534" s="265" t="s">
        <v>146</v>
      </c>
      <c r="T534" s="111" t="s">
        <v>40</v>
      </c>
      <c r="U534" s="269" t="s">
        <v>277</v>
      </c>
      <c r="V534" s="272">
        <v>44810</v>
      </c>
      <c r="W534" s="303" t="e">
        <f t="shared" si="252"/>
        <v>#VALUE!</v>
      </c>
      <c r="X534" s="303" t="e">
        <f t="shared" si="253"/>
        <v>#VALUE!</v>
      </c>
      <c r="Y534" s="265" t="s">
        <v>1300</v>
      </c>
      <c r="Z534" s="265" t="s">
        <v>214</v>
      </c>
      <c r="AA534" s="265" t="s">
        <v>215</v>
      </c>
      <c r="AB534" s="265"/>
      <c r="AC534" s="304" t="s">
        <v>3590</v>
      </c>
      <c r="AD534" s="272">
        <v>44832</v>
      </c>
      <c r="AE534" s="265"/>
      <c r="AF534" s="305" t="str">
        <f>+IF(AD534="","",TEXT(AD534,"mmm"))</f>
        <v>sep</v>
      </c>
      <c r="AG534" s="306">
        <f t="shared" si="254"/>
        <v>22</v>
      </c>
      <c r="AH534" s="307">
        <f t="shared" si="255"/>
        <v>22</v>
      </c>
      <c r="AI534" s="265" t="s">
        <v>146</v>
      </c>
      <c r="AJ534" s="265" t="s">
        <v>155</v>
      </c>
      <c r="AK534" s="265"/>
      <c r="AL534" s="265"/>
      <c r="AM534" s="309"/>
      <c r="AN534" s="269"/>
      <c r="AO534" s="265"/>
      <c r="AP534" s="309"/>
      <c r="AQ534" s="289"/>
      <c r="AR534" s="269"/>
      <c r="AS534" s="265"/>
      <c r="AT534" s="260"/>
      <c r="AU534" s="260"/>
      <c r="AV534" s="200"/>
      <c r="AW534" s="200"/>
      <c r="AX534" s="200"/>
      <c r="AY534" s="200"/>
      <c r="AZ534" s="139">
        <f t="shared" ref="AZ534:AZ597" si="263">IF(D534="GUENAA",1,IF(D534="GUENE",1,IF(D534="GUENT",1,0)))</f>
        <v>0</v>
      </c>
      <c r="BA534" s="200"/>
      <c r="BB534" s="203"/>
      <c r="BC534" s="95"/>
      <c r="BD534" s="2"/>
      <c r="BE534" s="2"/>
    </row>
    <row r="535" spans="2:57" ht="43.9" customHeight="1" x14ac:dyDescent="0.25">
      <c r="B535" s="100">
        <f t="shared" si="261"/>
        <v>517</v>
      </c>
      <c r="C535" s="293" t="s">
        <v>3359</v>
      </c>
      <c r="D535" s="265" t="s">
        <v>28</v>
      </c>
      <c r="E535" s="272">
        <v>44810</v>
      </c>
      <c r="F535" s="268" t="s">
        <v>4262</v>
      </c>
      <c r="G535" s="322" t="s">
        <v>3365</v>
      </c>
      <c r="H535" s="265" t="s">
        <v>2003</v>
      </c>
      <c r="I535" s="265" t="s">
        <v>146</v>
      </c>
      <c r="J535" s="269" t="s">
        <v>2004</v>
      </c>
      <c r="K535" s="342">
        <v>1310994372</v>
      </c>
      <c r="L535" s="270"/>
      <c r="M535" s="265" t="s">
        <v>4332</v>
      </c>
      <c r="N535" s="302" t="str">
        <f>MID(M535,5,3)</f>
        <v>IP-</v>
      </c>
      <c r="O535" s="265" t="s">
        <v>1572</v>
      </c>
      <c r="P535" s="271"/>
      <c r="Q535" s="265"/>
      <c r="R535" s="265"/>
      <c r="S535" s="265" t="s">
        <v>146</v>
      </c>
      <c r="T535" s="111" t="s">
        <v>43</v>
      </c>
      <c r="U535" s="269" t="s">
        <v>187</v>
      </c>
      <c r="V535" s="272">
        <v>44810</v>
      </c>
      <c r="W535" s="303" t="e">
        <f t="shared" si="252"/>
        <v>#VALUE!</v>
      </c>
      <c r="X535" s="303" t="e">
        <f t="shared" si="253"/>
        <v>#VALUE!</v>
      </c>
      <c r="Y535" s="265"/>
      <c r="Z535" s="265" t="s">
        <v>152</v>
      </c>
      <c r="AA535" s="265" t="s">
        <v>153</v>
      </c>
      <c r="AB535" s="272">
        <v>44904</v>
      </c>
      <c r="AC535" s="304" t="s">
        <v>4091</v>
      </c>
      <c r="AD535" s="272">
        <v>44904</v>
      </c>
      <c r="AE535" s="265"/>
      <c r="AF535" s="305" t="str">
        <f>+IF(AD535="","",TEXT(AD535,"mmm"))</f>
        <v>dic</v>
      </c>
      <c r="AG535" s="306">
        <f t="shared" si="254"/>
        <v>94</v>
      </c>
      <c r="AH535" s="307">
        <f t="shared" si="255"/>
        <v>94</v>
      </c>
      <c r="AI535" s="265" t="s">
        <v>2388</v>
      </c>
      <c r="AJ535" s="265" t="s">
        <v>155</v>
      </c>
      <c r="AK535" s="265"/>
      <c r="AL535" s="265"/>
      <c r="AM535" s="265"/>
      <c r="AN535" s="309"/>
      <c r="AO535" s="269"/>
      <c r="AP535" s="265"/>
      <c r="AQ535" s="309"/>
      <c r="AR535" s="289"/>
      <c r="AS535" s="269"/>
      <c r="AT535" s="265"/>
      <c r="AU535" s="260"/>
      <c r="AV535" s="260"/>
      <c r="AW535" s="200"/>
      <c r="AX535" s="200"/>
      <c r="AY535" s="200"/>
      <c r="AZ535" s="139">
        <f t="shared" si="263"/>
        <v>1</v>
      </c>
      <c r="BA535" s="200"/>
      <c r="BB535" s="200"/>
      <c r="BC535" s="3"/>
      <c r="BD535" s="95"/>
      <c r="BE535" s="2"/>
    </row>
    <row r="536" spans="2:57" ht="43.9" customHeight="1" x14ac:dyDescent="0.25">
      <c r="B536" s="100">
        <f t="shared" si="261"/>
        <v>518</v>
      </c>
      <c r="C536" s="110" t="s">
        <v>3360</v>
      </c>
      <c r="D536" s="99" t="s">
        <v>28</v>
      </c>
      <c r="E536" s="197">
        <v>44810</v>
      </c>
      <c r="F536" s="268" t="s">
        <v>4262</v>
      </c>
      <c r="G536" s="188" t="s">
        <v>3361</v>
      </c>
      <c r="H536" s="188" t="s">
        <v>3362</v>
      </c>
      <c r="I536" s="96" t="s">
        <v>146</v>
      </c>
      <c r="J536" s="188" t="s">
        <v>3363</v>
      </c>
      <c r="K536" s="351">
        <v>499994047</v>
      </c>
      <c r="L536" s="188" t="s">
        <v>3745</v>
      </c>
      <c r="M536" s="188" t="s">
        <v>3844</v>
      </c>
      <c r="N536" s="188"/>
      <c r="O536" s="194">
        <v>202200782</v>
      </c>
      <c r="P536" s="185">
        <v>2200000000</v>
      </c>
      <c r="Q536" s="194" t="s">
        <v>146</v>
      </c>
      <c r="R536" s="194" t="s">
        <v>146</v>
      </c>
      <c r="S536" s="99" t="s">
        <v>146</v>
      </c>
      <c r="T536" s="111" t="s">
        <v>43</v>
      </c>
      <c r="U536" s="96" t="s">
        <v>187</v>
      </c>
      <c r="V536" s="197">
        <v>44810</v>
      </c>
      <c r="W536" s="186" t="e">
        <f t="shared" si="252"/>
        <v>#VALUE!</v>
      </c>
      <c r="X536" s="99" t="e">
        <f t="shared" si="253"/>
        <v>#VALUE!</v>
      </c>
      <c r="Y536" s="194" t="s">
        <v>1317</v>
      </c>
      <c r="Z536" s="99" t="s">
        <v>168</v>
      </c>
      <c r="AA536" s="99" t="s">
        <v>169</v>
      </c>
      <c r="AB536" s="188"/>
      <c r="AC536" s="194"/>
      <c r="AD536" s="199">
        <v>44825</v>
      </c>
      <c r="AE536" s="183" t="s">
        <v>4262</v>
      </c>
      <c r="AF536" s="183"/>
      <c r="AG536" s="186">
        <f t="shared" si="254"/>
        <v>15</v>
      </c>
      <c r="AH536" s="187">
        <f t="shared" si="255"/>
        <v>15</v>
      </c>
      <c r="AI536" s="194" t="s">
        <v>258</v>
      </c>
      <c r="AJ536" s="188" t="s">
        <v>171</v>
      </c>
      <c r="AK536" s="194" t="s">
        <v>3845</v>
      </c>
      <c r="AL536" s="199">
        <v>44818</v>
      </c>
      <c r="AM536" s="204">
        <v>498670335</v>
      </c>
      <c r="AN536" s="188" t="s">
        <v>3079</v>
      </c>
      <c r="AO536" s="194">
        <v>202208432</v>
      </c>
      <c r="AP536" s="181">
        <f t="shared" ref="AP536:AP541" si="264">+K536-AM536</f>
        <v>1323712</v>
      </c>
      <c r="AQ536" s="193"/>
      <c r="AR536" s="193"/>
      <c r="AS536" s="194"/>
      <c r="AT536" s="194"/>
      <c r="AU536" s="193"/>
      <c r="AV536" s="194" t="s">
        <v>174</v>
      </c>
      <c r="AW536" s="194" t="s">
        <v>175</v>
      </c>
      <c r="AX536" s="193"/>
      <c r="AY536" s="167">
        <f t="shared" ref="AY536:AY541" si="265">+AP536/K536</f>
        <v>2.6474555206054285E-3</v>
      </c>
      <c r="AZ536" s="139">
        <f t="shared" si="263"/>
        <v>1</v>
      </c>
      <c r="BA536" s="139">
        <f t="shared" ref="BA536:BA541" si="266">IF(T536="Invitación Privada",1,IF(T536="Invitación Pública",2,0))</f>
        <v>1</v>
      </c>
      <c r="BB536" s="132">
        <f>IF(AA536="CONTRATADO",IF(BA536=1,NETWORKDAYS.INTL(E536,AD536,1,[1]FESTIVOS!$B$3:$B$10)-1,AD536-E536))-BD536</f>
        <v>11</v>
      </c>
    </row>
    <row r="537" spans="2:57" ht="43.9" customHeight="1" x14ac:dyDescent="0.25">
      <c r="B537" s="100">
        <f t="shared" si="261"/>
        <v>519</v>
      </c>
      <c r="C537" s="110" t="s">
        <v>3364</v>
      </c>
      <c r="D537" s="99" t="s">
        <v>28</v>
      </c>
      <c r="E537" s="197">
        <v>44810</v>
      </c>
      <c r="F537" s="268" t="s">
        <v>4262</v>
      </c>
      <c r="G537" s="188" t="s">
        <v>3365</v>
      </c>
      <c r="H537" s="188" t="s">
        <v>3366</v>
      </c>
      <c r="I537" s="96" t="s">
        <v>146</v>
      </c>
      <c r="J537" s="213" t="s">
        <v>3367</v>
      </c>
      <c r="K537" s="351">
        <v>499995611</v>
      </c>
      <c r="L537" s="188" t="s">
        <v>3745</v>
      </c>
      <c r="M537" s="188" t="s">
        <v>3885</v>
      </c>
      <c r="N537" s="188"/>
      <c r="O537" s="194">
        <v>202200782</v>
      </c>
      <c r="P537" s="185">
        <v>2200000000</v>
      </c>
      <c r="Q537" s="194" t="s">
        <v>146</v>
      </c>
      <c r="R537" s="194" t="s">
        <v>146</v>
      </c>
      <c r="S537" s="99" t="s">
        <v>146</v>
      </c>
      <c r="T537" s="111" t="s">
        <v>43</v>
      </c>
      <c r="U537" s="96" t="s">
        <v>187</v>
      </c>
      <c r="V537" s="199">
        <v>44825</v>
      </c>
      <c r="W537" s="186" t="e">
        <f t="shared" si="252"/>
        <v>#VALUE!</v>
      </c>
      <c r="X537" s="99" t="e">
        <f t="shared" si="253"/>
        <v>#VALUE!</v>
      </c>
      <c r="Y537" s="194" t="s">
        <v>1317</v>
      </c>
      <c r="Z537" s="99" t="s">
        <v>168</v>
      </c>
      <c r="AA537" s="99" t="s">
        <v>169</v>
      </c>
      <c r="AB537" s="188"/>
      <c r="AC537" s="194"/>
      <c r="AD537" s="199">
        <v>44825</v>
      </c>
      <c r="AE537" s="183" t="s">
        <v>4262</v>
      </c>
      <c r="AF537" s="183"/>
      <c r="AG537" s="186">
        <f t="shared" si="254"/>
        <v>15</v>
      </c>
      <c r="AH537" s="187">
        <f t="shared" si="255"/>
        <v>0</v>
      </c>
      <c r="AI537" s="194" t="s">
        <v>258</v>
      </c>
      <c r="AJ537" s="188" t="s">
        <v>171</v>
      </c>
      <c r="AK537" s="194" t="s">
        <v>3846</v>
      </c>
      <c r="AL537" s="199">
        <v>44818</v>
      </c>
      <c r="AM537" s="204">
        <v>499859500</v>
      </c>
      <c r="AN537" s="188" t="s">
        <v>3847</v>
      </c>
      <c r="AO537" s="194">
        <v>202208431</v>
      </c>
      <c r="AP537" s="181">
        <f t="shared" si="264"/>
        <v>136111</v>
      </c>
      <c r="AQ537" s="193"/>
      <c r="AR537" s="193"/>
      <c r="AS537" s="194"/>
      <c r="AT537" s="194"/>
      <c r="AU537" s="193"/>
      <c r="AV537" s="194" t="s">
        <v>174</v>
      </c>
      <c r="AW537" s="194" t="s">
        <v>175</v>
      </c>
      <c r="AX537" s="193"/>
      <c r="AY537" s="167">
        <f t="shared" si="265"/>
        <v>2.7222438958569178E-4</v>
      </c>
      <c r="AZ537" s="139">
        <f t="shared" si="263"/>
        <v>1</v>
      </c>
      <c r="BA537" s="139">
        <f t="shared" si="266"/>
        <v>1</v>
      </c>
      <c r="BB537" s="132">
        <f>IF(AA537="CONTRATADO",IF(BA537=1,NETWORKDAYS.INTL(E537,AD537,1,[1]FESTIVOS!$B$3:$B$10)-1,AD537-E537))-BD537</f>
        <v>11</v>
      </c>
      <c r="BD537" s="207"/>
      <c r="BE537" s="208"/>
    </row>
    <row r="538" spans="2:57" ht="43.9" customHeight="1" x14ac:dyDescent="0.25">
      <c r="B538" s="100">
        <f t="shared" si="261"/>
        <v>520</v>
      </c>
      <c r="C538" s="110" t="s">
        <v>3368</v>
      </c>
      <c r="D538" s="99" t="s">
        <v>28</v>
      </c>
      <c r="E538" s="197">
        <v>44810</v>
      </c>
      <c r="F538" s="268" t="s">
        <v>4262</v>
      </c>
      <c r="G538" s="188" t="s">
        <v>3369</v>
      </c>
      <c r="H538" s="188" t="s">
        <v>3370</v>
      </c>
      <c r="I538" s="96" t="s">
        <v>146</v>
      </c>
      <c r="J538" s="188" t="s">
        <v>3371</v>
      </c>
      <c r="K538" s="351">
        <v>498025516</v>
      </c>
      <c r="L538" s="188" t="s">
        <v>3745</v>
      </c>
      <c r="M538" s="188" t="s">
        <v>3848</v>
      </c>
      <c r="N538" s="188"/>
      <c r="O538" s="194">
        <v>202200782</v>
      </c>
      <c r="P538" s="185"/>
      <c r="Q538" s="194" t="s">
        <v>146</v>
      </c>
      <c r="R538" s="194" t="s">
        <v>146</v>
      </c>
      <c r="S538" s="99" t="s">
        <v>146</v>
      </c>
      <c r="T538" s="111" t="s">
        <v>43</v>
      </c>
      <c r="U538" s="96" t="s">
        <v>187</v>
      </c>
      <c r="V538" s="197">
        <v>44810</v>
      </c>
      <c r="W538" s="186" t="e">
        <f t="shared" si="252"/>
        <v>#VALUE!</v>
      </c>
      <c r="X538" s="99" t="e">
        <f t="shared" si="253"/>
        <v>#VALUE!</v>
      </c>
      <c r="Y538" s="194" t="s">
        <v>1317</v>
      </c>
      <c r="Z538" s="99" t="s">
        <v>168</v>
      </c>
      <c r="AA538" s="99" t="s">
        <v>169</v>
      </c>
      <c r="AB538" s="188"/>
      <c r="AC538" s="194"/>
      <c r="AD538" s="199">
        <v>44827</v>
      </c>
      <c r="AE538" s="183" t="s">
        <v>4262</v>
      </c>
      <c r="AF538" s="183"/>
      <c r="AG538" s="186">
        <f t="shared" si="254"/>
        <v>17</v>
      </c>
      <c r="AH538" s="187">
        <f t="shared" si="255"/>
        <v>17</v>
      </c>
      <c r="AI538" s="194" t="s">
        <v>258</v>
      </c>
      <c r="AJ538" s="188" t="s">
        <v>171</v>
      </c>
      <c r="AK538" s="194" t="s">
        <v>3849</v>
      </c>
      <c r="AL538" s="199">
        <v>44819</v>
      </c>
      <c r="AM538" s="204">
        <v>498012620</v>
      </c>
      <c r="AN538" s="188" t="s">
        <v>2324</v>
      </c>
      <c r="AO538" s="194">
        <v>202208439</v>
      </c>
      <c r="AP538" s="181">
        <f t="shared" si="264"/>
        <v>12896</v>
      </c>
      <c r="AQ538" s="193"/>
      <c r="AR538" s="193"/>
      <c r="AS538" s="194"/>
      <c r="AT538" s="194"/>
      <c r="AU538" s="193"/>
      <c r="AV538" s="194" t="s">
        <v>174</v>
      </c>
      <c r="AW538" s="194" t="s">
        <v>175</v>
      </c>
      <c r="AX538" s="193"/>
      <c r="AY538" s="167">
        <f t="shared" si="265"/>
        <v>2.5894255586695681E-5</v>
      </c>
      <c r="AZ538" s="139">
        <f t="shared" si="263"/>
        <v>1</v>
      </c>
      <c r="BA538" s="139">
        <f t="shared" si="266"/>
        <v>1</v>
      </c>
      <c r="BB538" s="132">
        <f>IF(AA538="CONTRATADO",IF(BA538=1,NETWORKDAYS.INTL(E538,AD538,1,[1]FESTIVOS!$B$3:$B$10)-1,AD538-E538))-BD538</f>
        <v>13</v>
      </c>
      <c r="BD538" s="207"/>
      <c r="BE538" s="208"/>
    </row>
    <row r="539" spans="2:57" ht="43.9" customHeight="1" x14ac:dyDescent="0.25">
      <c r="B539" s="100">
        <f t="shared" si="261"/>
        <v>521</v>
      </c>
      <c r="C539" s="110" t="s">
        <v>3372</v>
      </c>
      <c r="D539" s="99" t="s">
        <v>28</v>
      </c>
      <c r="E539" s="197">
        <v>44810</v>
      </c>
      <c r="F539" s="268" t="s">
        <v>4262</v>
      </c>
      <c r="G539" s="188" t="s">
        <v>3373</v>
      </c>
      <c r="H539" s="188" t="s">
        <v>3374</v>
      </c>
      <c r="I539" s="96" t="s">
        <v>146</v>
      </c>
      <c r="J539" s="213" t="s">
        <v>3375</v>
      </c>
      <c r="K539" s="351">
        <v>499973007</v>
      </c>
      <c r="L539" s="188" t="s">
        <v>3745</v>
      </c>
      <c r="M539" s="188" t="s">
        <v>3850</v>
      </c>
      <c r="N539" s="188"/>
      <c r="O539" s="194">
        <v>202200782</v>
      </c>
      <c r="P539" s="185"/>
      <c r="Q539" s="194" t="s">
        <v>146</v>
      </c>
      <c r="R539" s="194" t="s">
        <v>146</v>
      </c>
      <c r="S539" s="99" t="s">
        <v>146</v>
      </c>
      <c r="T539" s="111" t="s">
        <v>43</v>
      </c>
      <c r="U539" s="96" t="s">
        <v>187</v>
      </c>
      <c r="V539" s="197">
        <v>44810</v>
      </c>
      <c r="W539" s="186" t="e">
        <f t="shared" si="252"/>
        <v>#VALUE!</v>
      </c>
      <c r="X539" s="99" t="e">
        <f t="shared" si="253"/>
        <v>#VALUE!</v>
      </c>
      <c r="Y539" s="194" t="s">
        <v>1317</v>
      </c>
      <c r="Z539" s="99" t="s">
        <v>168</v>
      </c>
      <c r="AA539" s="99" t="s">
        <v>169</v>
      </c>
      <c r="AB539" s="188"/>
      <c r="AC539" s="194"/>
      <c r="AD539" s="199">
        <v>44825</v>
      </c>
      <c r="AE539" s="183" t="s">
        <v>4262</v>
      </c>
      <c r="AF539" s="183"/>
      <c r="AG539" s="186">
        <f t="shared" si="254"/>
        <v>15</v>
      </c>
      <c r="AH539" s="187">
        <f t="shared" si="255"/>
        <v>15</v>
      </c>
      <c r="AI539" s="194" t="s">
        <v>258</v>
      </c>
      <c r="AJ539" s="188" t="s">
        <v>171</v>
      </c>
      <c r="AK539" s="194" t="s">
        <v>3851</v>
      </c>
      <c r="AL539" s="199">
        <v>44818</v>
      </c>
      <c r="AM539" s="204">
        <v>498251989</v>
      </c>
      <c r="AN539" s="188" t="s">
        <v>3852</v>
      </c>
      <c r="AO539" s="194"/>
      <c r="AP539" s="181">
        <f t="shared" si="264"/>
        <v>1721018</v>
      </c>
      <c r="AQ539" s="193"/>
      <c r="AR539" s="193"/>
      <c r="AS539" s="194"/>
      <c r="AT539" s="194"/>
      <c r="AU539" s="193"/>
      <c r="AV539" s="194"/>
      <c r="AW539" s="194"/>
      <c r="AX539" s="193"/>
      <c r="AY539" s="167">
        <f t="shared" si="265"/>
        <v>3.442221831787811E-3</v>
      </c>
      <c r="AZ539" s="139">
        <f t="shared" si="263"/>
        <v>1</v>
      </c>
      <c r="BA539" s="139">
        <f t="shared" si="266"/>
        <v>1</v>
      </c>
      <c r="BB539" s="132">
        <f>IF(AA539="CONTRATADO",IF(BA539=1,NETWORKDAYS.INTL(E539,AD539,1,[1]FESTIVOS!$B$3:$B$10)-1,AD539-E539))-BD539</f>
        <v>11</v>
      </c>
    </row>
    <row r="540" spans="2:57" ht="43.9" customHeight="1" x14ac:dyDescent="0.25">
      <c r="B540" s="100">
        <f t="shared" si="261"/>
        <v>522</v>
      </c>
      <c r="C540" s="293" t="s">
        <v>3376</v>
      </c>
      <c r="D540" s="265" t="s">
        <v>359</v>
      </c>
      <c r="E540" s="313">
        <v>44812</v>
      </c>
      <c r="F540" s="268" t="s">
        <v>4262</v>
      </c>
      <c r="G540" s="265"/>
      <c r="H540" s="265" t="s">
        <v>3377</v>
      </c>
      <c r="I540" s="265" t="s">
        <v>146</v>
      </c>
      <c r="J540" s="269" t="s">
        <v>3378</v>
      </c>
      <c r="K540" s="342">
        <v>1000000</v>
      </c>
      <c r="L540" s="270"/>
      <c r="M540" s="265" t="s">
        <v>3936</v>
      </c>
      <c r="N540" s="302" t="str">
        <f>MID(M540,5,3)</f>
        <v>IP-</v>
      </c>
      <c r="O540" s="265">
        <v>202205711</v>
      </c>
      <c r="P540" s="271"/>
      <c r="Q540" s="265"/>
      <c r="R540" s="265"/>
      <c r="S540" s="265" t="s">
        <v>146</v>
      </c>
      <c r="T540" s="111" t="s">
        <v>43</v>
      </c>
      <c r="U540" s="269" t="s">
        <v>42</v>
      </c>
      <c r="V540" s="272">
        <v>44812</v>
      </c>
      <c r="W540" s="303" t="e">
        <f t="shared" si="252"/>
        <v>#VALUE!</v>
      </c>
      <c r="X540" s="303" t="e">
        <f t="shared" si="253"/>
        <v>#VALUE!</v>
      </c>
      <c r="Y540" s="265"/>
      <c r="Z540" s="265" t="s">
        <v>168</v>
      </c>
      <c r="AA540" s="265" t="s">
        <v>169</v>
      </c>
      <c r="AB540" s="272">
        <v>44916</v>
      </c>
      <c r="AC540" s="304"/>
      <c r="AD540" s="272">
        <v>44915</v>
      </c>
      <c r="AE540" s="272" t="s">
        <v>4264</v>
      </c>
      <c r="AF540" s="305" t="str">
        <f>+IF(AD540="","",TEXT(AD540,"mmm"))</f>
        <v>dic</v>
      </c>
      <c r="AG540" s="306">
        <f t="shared" si="254"/>
        <v>103</v>
      </c>
      <c r="AH540" s="307">
        <f t="shared" si="255"/>
        <v>103</v>
      </c>
      <c r="AI540" s="265" t="s">
        <v>258</v>
      </c>
      <c r="AJ540" s="265" t="s">
        <v>171</v>
      </c>
      <c r="AK540" s="265" t="s">
        <v>4257</v>
      </c>
      <c r="AL540" s="272">
        <v>44908</v>
      </c>
      <c r="AM540" s="309">
        <v>999600</v>
      </c>
      <c r="AN540" s="269" t="s">
        <v>4258</v>
      </c>
      <c r="AO540" s="265" t="s">
        <v>4259</v>
      </c>
      <c r="AP540" s="181">
        <f t="shared" si="264"/>
        <v>400</v>
      </c>
      <c r="AQ540" s="194"/>
      <c r="AR540" s="193"/>
      <c r="AS540" s="203"/>
      <c r="AT540" s="194"/>
      <c r="AU540" s="200"/>
      <c r="AV540" s="194"/>
      <c r="AW540" s="193"/>
      <c r="AX540" s="167"/>
      <c r="AY540" s="167">
        <f t="shared" si="265"/>
        <v>4.0000000000000002E-4</v>
      </c>
      <c r="AZ540" s="139">
        <f t="shared" si="263"/>
        <v>0</v>
      </c>
      <c r="BA540" s="139">
        <f t="shared" si="266"/>
        <v>1</v>
      </c>
      <c r="BB540" s="132">
        <f>IF(AA540="CONTRATADO",IF(BA540=1,NETWORKDAYS.INTL(E540,AD540,1,[1]FESTIVOS!$B$3:$B$10)-1,AD540-E540))-BD540</f>
        <v>46</v>
      </c>
      <c r="BC540" s="3"/>
      <c r="BD540" s="3">
        <v>27</v>
      </c>
      <c r="BE540" s="95" t="s">
        <v>4229</v>
      </c>
    </row>
    <row r="541" spans="2:57" ht="43.9" customHeight="1" x14ac:dyDescent="0.25">
      <c r="B541" s="100">
        <f t="shared" si="261"/>
        <v>523</v>
      </c>
      <c r="C541" s="110" t="s">
        <v>181</v>
      </c>
      <c r="D541" s="99" t="s">
        <v>359</v>
      </c>
      <c r="E541" s="197">
        <v>44813</v>
      </c>
      <c r="F541" s="268" t="s">
        <v>4262</v>
      </c>
      <c r="G541" s="188" t="s">
        <v>940</v>
      </c>
      <c r="H541" s="188" t="s">
        <v>3234</v>
      </c>
      <c r="I541" s="96" t="s">
        <v>146</v>
      </c>
      <c r="J541" s="188" t="s">
        <v>3379</v>
      </c>
      <c r="K541" s="351">
        <v>177488500</v>
      </c>
      <c r="L541" s="188" t="s">
        <v>3025</v>
      </c>
      <c r="M541" s="96" t="s">
        <v>3598</v>
      </c>
      <c r="N541" s="96"/>
      <c r="O541" s="194">
        <v>202205631</v>
      </c>
      <c r="P541" s="198">
        <v>177488500</v>
      </c>
      <c r="Q541" s="96" t="s">
        <v>146</v>
      </c>
      <c r="R541" s="96" t="s">
        <v>146</v>
      </c>
      <c r="S541" s="99" t="s">
        <v>146</v>
      </c>
      <c r="T541" s="111" t="s">
        <v>43</v>
      </c>
      <c r="U541" s="96" t="s">
        <v>2849</v>
      </c>
      <c r="V541" s="199">
        <v>44816</v>
      </c>
      <c r="W541" s="186">
        <v>60</v>
      </c>
      <c r="X541" s="99">
        <v>57</v>
      </c>
      <c r="Y541" s="194" t="s">
        <v>1317</v>
      </c>
      <c r="Z541" s="99" t="s">
        <v>168</v>
      </c>
      <c r="AA541" s="99" t="s">
        <v>169</v>
      </c>
      <c r="AB541" s="188" t="s">
        <v>3559</v>
      </c>
      <c r="AC541" s="188"/>
      <c r="AD541" s="199">
        <v>44840</v>
      </c>
      <c r="AE541" s="183" t="s">
        <v>4271</v>
      </c>
      <c r="AF541" s="186">
        <v>27</v>
      </c>
      <c r="AG541" s="186"/>
      <c r="AH541" s="187">
        <v>24</v>
      </c>
      <c r="AI541" s="194" t="s">
        <v>258</v>
      </c>
      <c r="AJ541" s="188" t="s">
        <v>171</v>
      </c>
      <c r="AK541" s="194" t="s">
        <v>3981</v>
      </c>
      <c r="AL541" s="199">
        <v>44819</v>
      </c>
      <c r="AM541" s="204">
        <v>177405200</v>
      </c>
      <c r="AN541" s="194" t="s">
        <v>3982</v>
      </c>
      <c r="AO541" s="194">
        <v>202208541</v>
      </c>
      <c r="AP541" s="181">
        <f t="shared" si="264"/>
        <v>83300</v>
      </c>
      <c r="AQ541" s="194" t="s">
        <v>174</v>
      </c>
      <c r="AR541" s="194" t="s">
        <v>175</v>
      </c>
      <c r="AS541" s="203"/>
      <c r="AT541" s="200"/>
      <c r="AU541" s="200"/>
      <c r="AV541" s="260"/>
      <c r="AW541" s="260"/>
      <c r="AX541" s="260"/>
      <c r="AY541" s="167">
        <f t="shared" si="265"/>
        <v>4.693261816962789E-4</v>
      </c>
      <c r="AZ541" s="139">
        <f t="shared" si="263"/>
        <v>0</v>
      </c>
      <c r="BA541" s="139">
        <f t="shared" si="266"/>
        <v>1</v>
      </c>
      <c r="BB541" s="132">
        <f>IF(AA541="CONTRATADO",IF(BA541=1,NETWORKDAYS.INTL(E541,AD541,1,[1]FESTIVOS!$B$3:$B$10)-1,AD541-E541))-BD541</f>
        <v>19</v>
      </c>
      <c r="BD541" s="207">
        <v>0</v>
      </c>
      <c r="BE541" s="208"/>
    </row>
    <row r="542" spans="2:57" ht="43.9" customHeight="1" x14ac:dyDescent="0.25">
      <c r="B542" s="100">
        <f t="shared" si="261"/>
        <v>524</v>
      </c>
      <c r="C542" s="293" t="s">
        <v>188</v>
      </c>
      <c r="D542" s="265" t="s">
        <v>359</v>
      </c>
      <c r="E542" s="272">
        <v>44813</v>
      </c>
      <c r="F542" s="268" t="s">
        <v>4262</v>
      </c>
      <c r="G542" s="269" t="s">
        <v>2882</v>
      </c>
      <c r="H542" s="265" t="s">
        <v>2883</v>
      </c>
      <c r="I542" s="265" t="s">
        <v>146</v>
      </c>
      <c r="J542" s="269" t="s">
        <v>3380</v>
      </c>
      <c r="K542" s="342">
        <v>260464881</v>
      </c>
      <c r="L542" s="270"/>
      <c r="M542" s="294" t="s">
        <v>3599</v>
      </c>
      <c r="N542" s="302" t="str">
        <f>MID(M542,5,3)</f>
        <v>IP-</v>
      </c>
      <c r="O542" s="265">
        <v>202203588</v>
      </c>
      <c r="P542" s="271"/>
      <c r="Q542" s="265" t="s">
        <v>146</v>
      </c>
      <c r="R542" s="265" t="s">
        <v>146</v>
      </c>
      <c r="S542" s="265" t="s">
        <v>146</v>
      </c>
      <c r="T542" s="111" t="s">
        <v>43</v>
      </c>
      <c r="U542" s="269" t="s">
        <v>2849</v>
      </c>
      <c r="V542" s="272">
        <v>44816</v>
      </c>
      <c r="W542" s="303" t="e">
        <f t="shared" ref="W542:W551" si="267">+$D$4-E542</f>
        <v>#VALUE!</v>
      </c>
      <c r="X542" s="303" t="e">
        <f t="shared" ref="X542:X551" si="268">$D$4-V542</f>
        <v>#VALUE!</v>
      </c>
      <c r="Y542" s="265"/>
      <c r="Z542" s="265" t="s">
        <v>214</v>
      </c>
      <c r="AA542" s="265" t="s">
        <v>215</v>
      </c>
      <c r="AB542" s="272">
        <v>44901</v>
      </c>
      <c r="AC542" s="304" t="s">
        <v>4092</v>
      </c>
      <c r="AD542" s="272">
        <v>44895</v>
      </c>
      <c r="AE542" s="265"/>
      <c r="AF542" s="305" t="str">
        <f>+IF(AD542="","",TEXT(AD542,"mmm"))</f>
        <v>nov</v>
      </c>
      <c r="AG542" s="306">
        <f t="shared" ref="AG542:AG551" si="269">+AD542-E542</f>
        <v>82</v>
      </c>
      <c r="AH542" s="307">
        <f t="shared" ref="AH542:AH551" si="270">+AD542-V542</f>
        <v>79</v>
      </c>
      <c r="AI542" s="265" t="s">
        <v>241</v>
      </c>
      <c r="AJ542" s="265" t="s">
        <v>2290</v>
      </c>
      <c r="AK542" s="265"/>
      <c r="AL542" s="265"/>
      <c r="AM542" s="309"/>
      <c r="AN542" s="269"/>
      <c r="AO542" s="265"/>
      <c r="AP542" s="309"/>
      <c r="AQ542" s="289"/>
      <c r="AR542" s="269"/>
      <c r="AS542" s="265"/>
      <c r="AT542" s="260"/>
      <c r="AU542" s="260"/>
      <c r="AV542" s="200"/>
      <c r="AW542" s="200"/>
      <c r="AX542" s="200"/>
      <c r="AY542" s="200"/>
      <c r="AZ542" s="139">
        <f t="shared" si="263"/>
        <v>0</v>
      </c>
      <c r="BA542" s="200"/>
      <c r="BB542" s="203"/>
      <c r="BC542" s="95"/>
      <c r="BD542" s="2"/>
      <c r="BE542" s="2"/>
    </row>
    <row r="543" spans="2:57" ht="43.9" customHeight="1" x14ac:dyDescent="0.25">
      <c r="B543" s="100">
        <f t="shared" si="261"/>
        <v>525</v>
      </c>
      <c r="C543" s="110" t="s">
        <v>194</v>
      </c>
      <c r="D543" s="99" t="s">
        <v>28</v>
      </c>
      <c r="E543" s="197">
        <v>44813</v>
      </c>
      <c r="F543" s="268" t="s">
        <v>4262</v>
      </c>
      <c r="G543" s="188" t="s">
        <v>3381</v>
      </c>
      <c r="H543" s="188" t="s">
        <v>3382</v>
      </c>
      <c r="I543" s="188" t="s">
        <v>1224</v>
      </c>
      <c r="J543" s="213" t="s">
        <v>3383</v>
      </c>
      <c r="K543" s="351">
        <v>286263769</v>
      </c>
      <c r="L543" s="188" t="s">
        <v>2359</v>
      </c>
      <c r="M543" s="188" t="s">
        <v>146</v>
      </c>
      <c r="N543" s="188"/>
      <c r="O543" s="194">
        <v>202205687</v>
      </c>
      <c r="P543" s="198">
        <v>286263769</v>
      </c>
      <c r="Q543" s="194" t="s">
        <v>146</v>
      </c>
      <c r="R543" s="194" t="s">
        <v>146</v>
      </c>
      <c r="S543" s="99" t="s">
        <v>146</v>
      </c>
      <c r="T543" s="96" t="s">
        <v>230</v>
      </c>
      <c r="U543" s="96" t="s">
        <v>29</v>
      </c>
      <c r="V543" s="199">
        <v>44813</v>
      </c>
      <c r="W543" s="186" t="e">
        <f t="shared" si="267"/>
        <v>#VALUE!</v>
      </c>
      <c r="X543" s="99" t="e">
        <f t="shared" si="268"/>
        <v>#VALUE!</v>
      </c>
      <c r="Y543" s="194" t="s">
        <v>1317</v>
      </c>
      <c r="Z543" s="99" t="s">
        <v>168</v>
      </c>
      <c r="AA543" s="99" t="s">
        <v>169</v>
      </c>
      <c r="AB543" s="188"/>
      <c r="AC543" s="194"/>
      <c r="AD543" s="199">
        <v>44825</v>
      </c>
      <c r="AE543" s="183" t="s">
        <v>4262</v>
      </c>
      <c r="AF543" s="183"/>
      <c r="AG543" s="186">
        <f t="shared" si="269"/>
        <v>12</v>
      </c>
      <c r="AH543" s="187">
        <f t="shared" si="270"/>
        <v>12</v>
      </c>
      <c r="AI543" s="194" t="s">
        <v>146</v>
      </c>
      <c r="AJ543" s="188" t="s">
        <v>171</v>
      </c>
      <c r="AK543" s="188" t="s">
        <v>3853</v>
      </c>
      <c r="AL543" s="199">
        <v>44819</v>
      </c>
      <c r="AM543" s="204">
        <v>285565244</v>
      </c>
      <c r="AN543" s="188" t="s">
        <v>2324</v>
      </c>
      <c r="AO543" s="194">
        <v>202208489</v>
      </c>
      <c r="AP543" s="181">
        <f t="shared" ref="AP543" si="271">+K543-AM543</f>
        <v>698525</v>
      </c>
      <c r="AQ543" s="193"/>
      <c r="AR543" s="193"/>
      <c r="AS543" s="194"/>
      <c r="AT543" s="194"/>
      <c r="AU543" s="193"/>
      <c r="AV543" s="194" t="s">
        <v>174</v>
      </c>
      <c r="AW543" s="194" t="s">
        <v>175</v>
      </c>
      <c r="AX543" s="193"/>
      <c r="AY543" s="167">
        <f>+AP543/K543</f>
        <v>2.4401446345800053E-3</v>
      </c>
      <c r="AZ543" s="139">
        <f t="shared" si="263"/>
        <v>1</v>
      </c>
      <c r="BA543" s="139">
        <f>IF(T543="Invitación Privada",1,IF(T543="Invitación Pública",2,0))</f>
        <v>0</v>
      </c>
      <c r="BB543" s="132">
        <f>IF(AA543="CONTRATADO",IF(BA543=1,NETWORKDAYS.INTL(E543,AD543,1,[1]FESTIVOS!$B$3:$B$10)-1,AD543-E543))-BD543</f>
        <v>12</v>
      </c>
    </row>
    <row r="544" spans="2:57" ht="43.9" customHeight="1" x14ac:dyDescent="0.25">
      <c r="B544" s="100">
        <f t="shared" si="261"/>
        <v>526</v>
      </c>
      <c r="C544" s="293" t="s">
        <v>3384</v>
      </c>
      <c r="D544" s="265" t="s">
        <v>28</v>
      </c>
      <c r="E544" s="272">
        <v>44813</v>
      </c>
      <c r="F544" s="268" t="s">
        <v>4262</v>
      </c>
      <c r="G544" s="269" t="s">
        <v>3385</v>
      </c>
      <c r="H544" s="265" t="s">
        <v>3386</v>
      </c>
      <c r="I544" s="265" t="s">
        <v>146</v>
      </c>
      <c r="J544" s="269" t="s">
        <v>3387</v>
      </c>
      <c r="K544" s="342">
        <v>64998990</v>
      </c>
      <c r="L544" s="270"/>
      <c r="M544" s="265" t="s">
        <v>3600</v>
      </c>
      <c r="N544" s="302" t="str">
        <f t="shared" ref="N544:N549" si="272">MID(M544,5,3)</f>
        <v>IP-</v>
      </c>
      <c r="O544" s="265">
        <v>202205888</v>
      </c>
      <c r="P544" s="271"/>
      <c r="Q544" s="265"/>
      <c r="R544" s="265"/>
      <c r="S544" s="265" t="s">
        <v>146</v>
      </c>
      <c r="T544" s="111" t="s">
        <v>43</v>
      </c>
      <c r="U544" s="269" t="s">
        <v>29</v>
      </c>
      <c r="V544" s="272">
        <v>44816</v>
      </c>
      <c r="W544" s="303" t="e">
        <f t="shared" si="267"/>
        <v>#VALUE!</v>
      </c>
      <c r="X544" s="303" t="e">
        <f t="shared" si="268"/>
        <v>#VALUE!</v>
      </c>
      <c r="Y544" s="265"/>
      <c r="Z544" s="265" t="s">
        <v>152</v>
      </c>
      <c r="AA544" s="265" t="s">
        <v>153</v>
      </c>
      <c r="AB544" s="272">
        <v>44922</v>
      </c>
      <c r="AC544" s="304"/>
      <c r="AD544" s="272">
        <v>44924</v>
      </c>
      <c r="AE544" s="265"/>
      <c r="AF544" s="305" t="str">
        <f t="shared" ref="AF544:AF549" si="273">+IF(AD544="","",TEXT(AD544,"mmm"))</f>
        <v>dic</v>
      </c>
      <c r="AG544" s="306">
        <f t="shared" si="269"/>
        <v>111</v>
      </c>
      <c r="AH544" s="307">
        <f t="shared" si="270"/>
        <v>108</v>
      </c>
      <c r="AI544" s="265"/>
      <c r="AJ544" s="265" t="s">
        <v>171</v>
      </c>
      <c r="AK544" s="265"/>
      <c r="AL544" s="265"/>
      <c r="AM544" s="265"/>
      <c r="AN544" s="309"/>
      <c r="AO544" s="269"/>
      <c r="AP544" s="265"/>
      <c r="AQ544" s="309"/>
      <c r="AR544" s="289"/>
      <c r="AS544" s="269"/>
      <c r="AT544" s="265"/>
      <c r="AU544" s="260"/>
      <c r="AV544" s="260"/>
      <c r="AW544" s="200"/>
      <c r="AX544" s="200"/>
      <c r="AY544" s="200"/>
      <c r="AZ544" s="139">
        <f t="shared" si="263"/>
        <v>1</v>
      </c>
      <c r="BA544" s="200"/>
      <c r="BB544" s="200"/>
      <c r="BC544" s="3"/>
      <c r="BD544" s="95"/>
      <c r="BE544" s="2"/>
    </row>
    <row r="545" spans="2:57" ht="43.9" customHeight="1" x14ac:dyDescent="0.25">
      <c r="B545" s="100">
        <f t="shared" si="261"/>
        <v>527</v>
      </c>
      <c r="C545" s="293" t="s">
        <v>3388</v>
      </c>
      <c r="D545" s="265" t="s">
        <v>359</v>
      </c>
      <c r="E545" s="272">
        <v>44813</v>
      </c>
      <c r="F545" s="268" t="s">
        <v>4262</v>
      </c>
      <c r="G545" s="269" t="s">
        <v>2878</v>
      </c>
      <c r="H545" s="265" t="s">
        <v>2879</v>
      </c>
      <c r="I545" s="265" t="s">
        <v>146</v>
      </c>
      <c r="J545" s="269" t="s">
        <v>3389</v>
      </c>
      <c r="K545" s="342">
        <v>35000000</v>
      </c>
      <c r="L545" s="270"/>
      <c r="M545" s="265" t="s">
        <v>3601</v>
      </c>
      <c r="N545" s="302" t="str">
        <f t="shared" si="272"/>
        <v>IP-</v>
      </c>
      <c r="O545" s="265">
        <v>202203030</v>
      </c>
      <c r="P545" s="271"/>
      <c r="Q545" s="265"/>
      <c r="R545" s="265"/>
      <c r="S545" s="265" t="s">
        <v>146</v>
      </c>
      <c r="T545" s="111" t="s">
        <v>43</v>
      </c>
      <c r="U545" s="269" t="s">
        <v>29</v>
      </c>
      <c r="V545" s="272">
        <v>44817</v>
      </c>
      <c r="W545" s="303" t="e">
        <f t="shared" si="267"/>
        <v>#VALUE!</v>
      </c>
      <c r="X545" s="303" t="e">
        <f t="shared" si="268"/>
        <v>#VALUE!</v>
      </c>
      <c r="Y545" s="265" t="s">
        <v>1300</v>
      </c>
      <c r="Z545" s="265" t="s">
        <v>214</v>
      </c>
      <c r="AA545" s="265" t="s">
        <v>215</v>
      </c>
      <c r="AB545" s="272">
        <v>44882</v>
      </c>
      <c r="AC545" s="318" t="s">
        <v>4034</v>
      </c>
      <c r="AD545" s="272">
        <v>44882</v>
      </c>
      <c r="AE545" s="265"/>
      <c r="AF545" s="305" t="str">
        <f t="shared" si="273"/>
        <v>nov</v>
      </c>
      <c r="AG545" s="306">
        <f t="shared" si="269"/>
        <v>69</v>
      </c>
      <c r="AH545" s="307">
        <f t="shared" si="270"/>
        <v>65</v>
      </c>
      <c r="AI545" s="265"/>
      <c r="AJ545" s="265" t="s">
        <v>2290</v>
      </c>
      <c r="AK545" s="265"/>
      <c r="AL545" s="265"/>
      <c r="AM545" s="309"/>
      <c r="AN545" s="269"/>
      <c r="AO545" s="265"/>
      <c r="AP545" s="309"/>
      <c r="AQ545" s="289"/>
      <c r="AR545" s="269"/>
      <c r="AS545" s="265"/>
      <c r="AT545" s="260"/>
      <c r="AU545" s="260"/>
      <c r="AV545" s="200"/>
      <c r="AW545" s="200"/>
      <c r="AX545" s="200"/>
      <c r="AY545" s="200"/>
      <c r="AZ545" s="139">
        <f t="shared" si="263"/>
        <v>0</v>
      </c>
      <c r="BA545" s="200"/>
      <c r="BB545" s="203"/>
      <c r="BC545" s="95"/>
      <c r="BD545" s="2"/>
      <c r="BE545" s="2"/>
    </row>
    <row r="546" spans="2:57" ht="43.9" customHeight="1" x14ac:dyDescent="0.25">
      <c r="B546" s="100">
        <f t="shared" si="261"/>
        <v>528</v>
      </c>
      <c r="C546" s="293" t="s">
        <v>3602</v>
      </c>
      <c r="D546" s="312" t="s">
        <v>32</v>
      </c>
      <c r="E546" s="313">
        <v>44817</v>
      </c>
      <c r="F546" s="268" t="s">
        <v>4262</v>
      </c>
      <c r="G546" s="269" t="s">
        <v>3937</v>
      </c>
      <c r="H546" s="265" t="s">
        <v>2274</v>
      </c>
      <c r="I546" s="265" t="s">
        <v>146</v>
      </c>
      <c r="J546" s="269" t="s">
        <v>2275</v>
      </c>
      <c r="K546" s="342">
        <v>58274291</v>
      </c>
      <c r="L546" s="270"/>
      <c r="M546" s="265" t="s">
        <v>3603</v>
      </c>
      <c r="N546" s="302" t="str">
        <f t="shared" si="272"/>
        <v>IP-</v>
      </c>
      <c r="O546" s="265">
        <v>202203959</v>
      </c>
      <c r="P546" s="271"/>
      <c r="Q546" s="265" t="s">
        <v>146</v>
      </c>
      <c r="R546" s="265" t="s">
        <v>146</v>
      </c>
      <c r="S546" s="265" t="s">
        <v>146</v>
      </c>
      <c r="T546" s="111" t="s">
        <v>43</v>
      </c>
      <c r="U546" s="269" t="s">
        <v>277</v>
      </c>
      <c r="V546" s="272">
        <v>44818</v>
      </c>
      <c r="W546" s="303" t="e">
        <f t="shared" si="267"/>
        <v>#VALUE!</v>
      </c>
      <c r="X546" s="303" t="e">
        <f t="shared" si="268"/>
        <v>#VALUE!</v>
      </c>
      <c r="Y546" s="265"/>
      <c r="Z546" s="265" t="s">
        <v>168</v>
      </c>
      <c r="AA546" s="265" t="s">
        <v>169</v>
      </c>
      <c r="AB546" s="272">
        <v>44921</v>
      </c>
      <c r="AC546" s="304" t="s">
        <v>4093</v>
      </c>
      <c r="AD546" s="272">
        <v>44921</v>
      </c>
      <c r="AE546" s="272" t="s">
        <v>4264</v>
      </c>
      <c r="AF546" s="305" t="str">
        <f t="shared" si="273"/>
        <v>dic</v>
      </c>
      <c r="AG546" s="306">
        <f t="shared" si="269"/>
        <v>104</v>
      </c>
      <c r="AH546" s="307">
        <f t="shared" si="270"/>
        <v>103</v>
      </c>
      <c r="AI546" s="265" t="s">
        <v>258</v>
      </c>
      <c r="AJ546" s="265" t="s">
        <v>155</v>
      </c>
      <c r="AK546" s="265" t="s">
        <v>4260</v>
      </c>
      <c r="AL546" s="272">
        <v>44914</v>
      </c>
      <c r="AM546" s="309">
        <v>58274291</v>
      </c>
      <c r="AN546" s="269" t="s">
        <v>1139</v>
      </c>
      <c r="AO546" s="265" t="s">
        <v>4261</v>
      </c>
      <c r="AP546" s="181">
        <f t="shared" ref="AP546" si="274">+K546-AM546</f>
        <v>0</v>
      </c>
      <c r="AQ546" s="194"/>
      <c r="AR546" s="193"/>
      <c r="AS546" s="200"/>
      <c r="AT546" s="194"/>
      <c r="AU546" s="194"/>
      <c r="AV546" s="193"/>
      <c r="AW546" s="167"/>
      <c r="AX546" s="139"/>
      <c r="AY546" s="167">
        <f>+AP546/K546</f>
        <v>0</v>
      </c>
      <c r="AZ546" s="139">
        <f t="shared" si="263"/>
        <v>1</v>
      </c>
      <c r="BA546" s="139">
        <f>IF(T546="Invitación Privada",1,IF(T546="Invitación Pública",2,0))</f>
        <v>1</v>
      </c>
      <c r="BB546" s="132">
        <f>IF(AA546="CONTRATADO",IF(BA546=1,NETWORKDAYS.INTL(E546,AD546,1,[1]FESTIVOS!$B$3:$B$10)-1,AD546-E546))-BD546</f>
        <v>47</v>
      </c>
      <c r="BC546" s="95"/>
      <c r="BD546" s="3">
        <v>27</v>
      </c>
      <c r="BE546" s="95" t="s">
        <v>4229</v>
      </c>
    </row>
    <row r="547" spans="2:57" ht="43.9" customHeight="1" x14ac:dyDescent="0.25">
      <c r="B547" s="100">
        <f t="shared" si="261"/>
        <v>529</v>
      </c>
      <c r="C547" s="293" t="s">
        <v>3533</v>
      </c>
      <c r="D547" s="265" t="s">
        <v>359</v>
      </c>
      <c r="E547" s="272">
        <v>44818</v>
      </c>
      <c r="F547" s="268" t="s">
        <v>4262</v>
      </c>
      <c r="G547" s="269" t="s">
        <v>3534</v>
      </c>
      <c r="H547" s="265" t="s">
        <v>3535</v>
      </c>
      <c r="I547" s="265" t="s">
        <v>146</v>
      </c>
      <c r="J547" s="269" t="s">
        <v>3536</v>
      </c>
      <c r="K547" s="342">
        <v>483000000</v>
      </c>
      <c r="L547" s="270"/>
      <c r="M547" s="265" t="s">
        <v>3537</v>
      </c>
      <c r="N547" s="302" t="str">
        <f t="shared" si="272"/>
        <v>IP-</v>
      </c>
      <c r="O547" s="265">
        <v>202205833</v>
      </c>
      <c r="P547" s="323">
        <v>483000000</v>
      </c>
      <c r="Q547" s="265" t="s">
        <v>146</v>
      </c>
      <c r="R547" s="265" t="s">
        <v>146</v>
      </c>
      <c r="S547" s="265" t="s">
        <v>146</v>
      </c>
      <c r="T547" s="111" t="s">
        <v>43</v>
      </c>
      <c r="U547" s="269" t="s">
        <v>151</v>
      </c>
      <c r="V547" s="272">
        <v>44818</v>
      </c>
      <c r="W547" s="303" t="e">
        <f t="shared" si="267"/>
        <v>#VALUE!</v>
      </c>
      <c r="X547" s="303" t="e">
        <f t="shared" si="268"/>
        <v>#VALUE!</v>
      </c>
      <c r="Y547" s="265" t="s">
        <v>1300</v>
      </c>
      <c r="Z547" s="265" t="s">
        <v>152</v>
      </c>
      <c r="AA547" s="265" t="s">
        <v>153</v>
      </c>
      <c r="AB547" s="265"/>
      <c r="AC547" s="304" t="s">
        <v>3538</v>
      </c>
      <c r="AD547" s="272">
        <v>44832</v>
      </c>
      <c r="AE547" s="272"/>
      <c r="AF547" s="305" t="str">
        <f t="shared" si="273"/>
        <v>sep</v>
      </c>
      <c r="AG547" s="306">
        <f t="shared" si="269"/>
        <v>14</v>
      </c>
      <c r="AH547" s="307">
        <f t="shared" si="270"/>
        <v>14</v>
      </c>
      <c r="AI547" s="265"/>
      <c r="AJ547" s="265" t="s">
        <v>171</v>
      </c>
      <c r="AK547" s="265"/>
      <c r="AL547" s="265"/>
      <c r="AM547" s="265"/>
      <c r="AN547" s="309"/>
      <c r="AO547" s="269"/>
      <c r="AP547" s="265"/>
      <c r="AQ547" s="309"/>
      <c r="AR547" s="289"/>
      <c r="AS547" s="269"/>
      <c r="AT547" s="265"/>
      <c r="AU547" s="260"/>
      <c r="AV547" s="260"/>
      <c r="AW547" s="200"/>
      <c r="AX547" s="200"/>
      <c r="AY547" s="200"/>
      <c r="AZ547" s="139">
        <f t="shared" si="263"/>
        <v>0</v>
      </c>
      <c r="BA547" s="200"/>
      <c r="BB547" s="200"/>
      <c r="BC547" s="3"/>
      <c r="BD547" s="95"/>
      <c r="BE547" s="2"/>
    </row>
    <row r="548" spans="2:57" ht="43.9" customHeight="1" x14ac:dyDescent="0.25">
      <c r="B548" s="100">
        <f t="shared" si="261"/>
        <v>530</v>
      </c>
      <c r="C548" s="293" t="s">
        <v>3604</v>
      </c>
      <c r="D548" s="312" t="s">
        <v>32</v>
      </c>
      <c r="E548" s="272">
        <v>44818</v>
      </c>
      <c r="F548" s="268" t="s">
        <v>4262</v>
      </c>
      <c r="G548" s="269" t="s">
        <v>3605</v>
      </c>
      <c r="H548" s="265" t="s">
        <v>3606</v>
      </c>
      <c r="I548" s="265" t="s">
        <v>146</v>
      </c>
      <c r="J548" s="269" t="s">
        <v>3607</v>
      </c>
      <c r="K548" s="342">
        <v>12959100</v>
      </c>
      <c r="L548" s="270"/>
      <c r="M548" s="265" t="s">
        <v>3608</v>
      </c>
      <c r="N548" s="302" t="str">
        <f t="shared" si="272"/>
        <v>IP-</v>
      </c>
      <c r="O548" s="265">
        <v>202202155</v>
      </c>
      <c r="P548" s="323">
        <v>12959100</v>
      </c>
      <c r="Q548" s="265" t="s">
        <v>146</v>
      </c>
      <c r="R548" s="265" t="s">
        <v>146</v>
      </c>
      <c r="S548" s="265" t="s">
        <v>146</v>
      </c>
      <c r="T548" s="111" t="s">
        <v>43</v>
      </c>
      <c r="U548" s="269" t="s">
        <v>921</v>
      </c>
      <c r="V548" s="272">
        <v>44818</v>
      </c>
      <c r="W548" s="303" t="e">
        <f t="shared" si="267"/>
        <v>#VALUE!</v>
      </c>
      <c r="X548" s="303" t="e">
        <f t="shared" si="268"/>
        <v>#VALUE!</v>
      </c>
      <c r="Y548" s="265"/>
      <c r="Z548" s="265" t="s">
        <v>152</v>
      </c>
      <c r="AA548" s="265" t="s">
        <v>153</v>
      </c>
      <c r="AB548" s="272">
        <v>44902</v>
      </c>
      <c r="AC548" s="304" t="s">
        <v>4333</v>
      </c>
      <c r="AD548" s="272">
        <v>44902</v>
      </c>
      <c r="AE548" s="265"/>
      <c r="AF548" s="305" t="str">
        <f t="shared" si="273"/>
        <v>dic</v>
      </c>
      <c r="AG548" s="306">
        <f t="shared" si="269"/>
        <v>84</v>
      </c>
      <c r="AH548" s="307">
        <f t="shared" si="270"/>
        <v>84</v>
      </c>
      <c r="AI548" s="265"/>
      <c r="AJ548" s="265" t="s">
        <v>171</v>
      </c>
      <c r="AK548" s="265"/>
      <c r="AL548" s="265"/>
      <c r="AM548" s="265"/>
      <c r="AN548" s="309"/>
      <c r="AO548" s="269"/>
      <c r="AP548" s="265"/>
      <c r="AQ548" s="309"/>
      <c r="AR548" s="289"/>
      <c r="AS548" s="269"/>
      <c r="AT548" s="265"/>
      <c r="AU548" s="260"/>
      <c r="AV548" s="260"/>
      <c r="AW548" s="200"/>
      <c r="AX548" s="200"/>
      <c r="AY548" s="200"/>
      <c r="AZ548" s="139">
        <f t="shared" si="263"/>
        <v>1</v>
      </c>
      <c r="BA548" s="200"/>
      <c r="BB548" s="200"/>
      <c r="BC548" s="3"/>
      <c r="BD548" s="95"/>
      <c r="BE548" s="2"/>
    </row>
    <row r="549" spans="2:57" ht="43.9" customHeight="1" x14ac:dyDescent="0.25">
      <c r="B549" s="100">
        <f t="shared" si="261"/>
        <v>531</v>
      </c>
      <c r="C549" s="293" t="s">
        <v>3609</v>
      </c>
      <c r="D549" s="265" t="s">
        <v>28</v>
      </c>
      <c r="E549" s="272">
        <v>44818</v>
      </c>
      <c r="F549" s="268" t="s">
        <v>4262</v>
      </c>
      <c r="G549" s="269" t="s">
        <v>3610</v>
      </c>
      <c r="H549" s="265" t="s">
        <v>3611</v>
      </c>
      <c r="I549" s="265" t="s">
        <v>146</v>
      </c>
      <c r="J549" s="269" t="s">
        <v>3612</v>
      </c>
      <c r="K549" s="342">
        <v>3000000</v>
      </c>
      <c r="L549" s="270"/>
      <c r="M549" s="277" t="s">
        <v>3938</v>
      </c>
      <c r="N549" s="302" t="str">
        <f t="shared" si="272"/>
        <v>IP-</v>
      </c>
      <c r="O549" s="265">
        <v>202203057</v>
      </c>
      <c r="P549" s="271"/>
      <c r="Q549" s="265"/>
      <c r="R549" s="265"/>
      <c r="S549" s="265"/>
      <c r="T549" s="111" t="s">
        <v>43</v>
      </c>
      <c r="U549" s="269" t="s">
        <v>2842</v>
      </c>
      <c r="V549" s="272">
        <v>44818</v>
      </c>
      <c r="W549" s="303" t="e">
        <f t="shared" si="267"/>
        <v>#VALUE!</v>
      </c>
      <c r="X549" s="303" t="e">
        <f t="shared" si="268"/>
        <v>#VALUE!</v>
      </c>
      <c r="Y549" s="265"/>
      <c r="Z549" s="265" t="s">
        <v>152</v>
      </c>
      <c r="AA549" s="265" t="s">
        <v>153</v>
      </c>
      <c r="AB549" s="272">
        <v>44925</v>
      </c>
      <c r="AC549" s="304" t="s">
        <v>4094</v>
      </c>
      <c r="AD549" s="272">
        <v>44925</v>
      </c>
      <c r="AE549" s="265"/>
      <c r="AF549" s="305" t="str">
        <f t="shared" si="273"/>
        <v>dic</v>
      </c>
      <c r="AG549" s="306">
        <f t="shared" si="269"/>
        <v>107</v>
      </c>
      <c r="AH549" s="307">
        <f t="shared" si="270"/>
        <v>107</v>
      </c>
      <c r="AI549" s="265"/>
      <c r="AJ549" s="265" t="s">
        <v>171</v>
      </c>
      <c r="AK549" s="265"/>
      <c r="AL549" s="265"/>
      <c r="AM549" s="265"/>
      <c r="AN549" s="309"/>
      <c r="AO549" s="269"/>
      <c r="AP549" s="265"/>
      <c r="AQ549" s="309"/>
      <c r="AR549" s="289"/>
      <c r="AS549" s="269"/>
      <c r="AT549" s="265"/>
      <c r="AU549" s="260"/>
      <c r="AV549" s="260"/>
      <c r="AW549" s="200"/>
      <c r="AX549" s="200"/>
      <c r="AY549" s="200"/>
      <c r="AZ549" s="139">
        <f t="shared" si="263"/>
        <v>1</v>
      </c>
      <c r="BA549" s="200"/>
      <c r="BB549" s="200"/>
      <c r="BC549" s="3"/>
      <c r="BD549" s="95"/>
      <c r="BE549" s="2"/>
    </row>
    <row r="550" spans="2:57" ht="43.9" customHeight="1" x14ac:dyDescent="0.25">
      <c r="B550" s="100">
        <f t="shared" si="261"/>
        <v>532</v>
      </c>
      <c r="C550" s="110" t="s">
        <v>3854</v>
      </c>
      <c r="D550" s="99" t="s">
        <v>359</v>
      </c>
      <c r="E550" s="197">
        <v>44818</v>
      </c>
      <c r="F550" s="268" t="s">
        <v>4262</v>
      </c>
      <c r="G550" s="188" t="s">
        <v>3855</v>
      </c>
      <c r="H550" s="188" t="s">
        <v>3856</v>
      </c>
      <c r="I550" s="96" t="s">
        <v>146</v>
      </c>
      <c r="J550" s="188" t="s">
        <v>3857</v>
      </c>
      <c r="K550" s="351">
        <v>174350001</v>
      </c>
      <c r="L550" s="194" t="s">
        <v>1801</v>
      </c>
      <c r="M550" s="96" t="s">
        <v>3858</v>
      </c>
      <c r="N550" s="96"/>
      <c r="O550" s="194">
        <v>202205709</v>
      </c>
      <c r="P550" s="198">
        <v>174350001</v>
      </c>
      <c r="Q550" s="96" t="s">
        <v>146</v>
      </c>
      <c r="R550" s="96" t="s">
        <v>146</v>
      </c>
      <c r="S550" s="194"/>
      <c r="T550" s="111" t="s">
        <v>43</v>
      </c>
      <c r="U550" s="96" t="s">
        <v>151</v>
      </c>
      <c r="V550" s="199">
        <v>44818</v>
      </c>
      <c r="W550" s="186" t="e">
        <f t="shared" si="267"/>
        <v>#VALUE!</v>
      </c>
      <c r="X550" s="99" t="e">
        <f t="shared" si="268"/>
        <v>#VALUE!</v>
      </c>
      <c r="Y550" s="96" t="s">
        <v>1317</v>
      </c>
      <c r="Z550" s="96" t="s">
        <v>168</v>
      </c>
      <c r="AA550" s="96" t="s">
        <v>169</v>
      </c>
      <c r="AB550" s="188"/>
      <c r="AC550" s="194"/>
      <c r="AD550" s="199">
        <v>44827</v>
      </c>
      <c r="AE550" s="183" t="s">
        <v>4262</v>
      </c>
      <c r="AF550" s="183"/>
      <c r="AG550" s="186">
        <f t="shared" si="269"/>
        <v>9</v>
      </c>
      <c r="AH550" s="187">
        <f t="shared" si="270"/>
        <v>9</v>
      </c>
      <c r="AI550" s="96" t="s">
        <v>241</v>
      </c>
      <c r="AJ550" s="188" t="s">
        <v>171</v>
      </c>
      <c r="AK550" s="194" t="s">
        <v>3859</v>
      </c>
      <c r="AL550" s="199">
        <v>44819</v>
      </c>
      <c r="AM550" s="204">
        <v>174348380</v>
      </c>
      <c r="AN550" s="188" t="s">
        <v>3860</v>
      </c>
      <c r="AO550" s="194">
        <v>202208525</v>
      </c>
      <c r="AP550" s="181">
        <f t="shared" ref="AP550:AP554" si="275">+K550-AM550</f>
        <v>1621</v>
      </c>
      <c r="AQ550" s="193"/>
      <c r="AR550" s="193"/>
      <c r="AS550" s="194"/>
      <c r="AT550" s="194"/>
      <c r="AU550" s="193"/>
      <c r="AV550" s="96" t="s">
        <v>1000</v>
      </c>
      <c r="AW550" s="96" t="s">
        <v>692</v>
      </c>
      <c r="AX550" s="193"/>
      <c r="AY550" s="167">
        <f t="shared" ref="AY550:AY554" si="276">+AP550/K550</f>
        <v>9.2973902535280177E-6</v>
      </c>
      <c r="AZ550" s="139">
        <f t="shared" si="263"/>
        <v>0</v>
      </c>
      <c r="BA550" s="139">
        <f>IF(T550="Invitación Privada",1,IF(T550="Invitación Pública",2,0))</f>
        <v>1</v>
      </c>
      <c r="BB550" s="132">
        <f>IF(AA550="CONTRATADO",IF(BA550=1,NETWORKDAYS.INTL(E550,AD550,1,[1]FESTIVOS!$B$3:$B$10)-1,AD550-E550))-BD550</f>
        <v>7</v>
      </c>
    </row>
    <row r="551" spans="2:57" ht="43.9" customHeight="1" x14ac:dyDescent="0.25">
      <c r="B551" s="100">
        <f t="shared" si="261"/>
        <v>533</v>
      </c>
      <c r="C551" s="110" t="s">
        <v>3861</v>
      </c>
      <c r="D551" s="99" t="s">
        <v>332</v>
      </c>
      <c r="E551" s="197">
        <v>44818</v>
      </c>
      <c r="F551" s="268" t="s">
        <v>4262</v>
      </c>
      <c r="G551" s="188" t="s">
        <v>3862</v>
      </c>
      <c r="H551" s="188" t="s">
        <v>3863</v>
      </c>
      <c r="I551" s="96" t="s">
        <v>470</v>
      </c>
      <c r="J551" s="188" t="s">
        <v>3864</v>
      </c>
      <c r="K551" s="351">
        <v>1076738029</v>
      </c>
      <c r="L551" s="188" t="s">
        <v>228</v>
      </c>
      <c r="M551" s="194" t="s">
        <v>146</v>
      </c>
      <c r="N551" s="194"/>
      <c r="O551" s="194">
        <v>202204128</v>
      </c>
      <c r="P551" s="185"/>
      <c r="Q551" s="194" t="s">
        <v>146</v>
      </c>
      <c r="R551" s="194" t="s">
        <v>146</v>
      </c>
      <c r="S551" s="193"/>
      <c r="T551" s="96" t="s">
        <v>230</v>
      </c>
      <c r="U551" s="96" t="s">
        <v>42</v>
      </c>
      <c r="V551" s="199">
        <v>44818</v>
      </c>
      <c r="W551" s="186" t="e">
        <f t="shared" si="267"/>
        <v>#VALUE!</v>
      </c>
      <c r="X551" s="99" t="e">
        <f t="shared" si="268"/>
        <v>#VALUE!</v>
      </c>
      <c r="Y551" s="194" t="s">
        <v>1317</v>
      </c>
      <c r="Z551" s="99" t="s">
        <v>168</v>
      </c>
      <c r="AA551" s="99" t="s">
        <v>169</v>
      </c>
      <c r="AB551" s="188"/>
      <c r="AC551" s="193"/>
      <c r="AD551" s="199">
        <v>44832</v>
      </c>
      <c r="AE551" s="183" t="s">
        <v>4262</v>
      </c>
      <c r="AF551" s="183"/>
      <c r="AG551" s="186">
        <f t="shared" si="269"/>
        <v>14</v>
      </c>
      <c r="AH551" s="187">
        <f t="shared" si="270"/>
        <v>14</v>
      </c>
      <c r="AI551" s="194" t="s">
        <v>146</v>
      </c>
      <c r="AJ551" s="188" t="s">
        <v>171</v>
      </c>
      <c r="AK551" s="188" t="s">
        <v>3865</v>
      </c>
      <c r="AL551" s="199">
        <v>44819</v>
      </c>
      <c r="AM551" s="204">
        <v>1022901163</v>
      </c>
      <c r="AN551" s="188" t="s">
        <v>1027</v>
      </c>
      <c r="AO551" s="194">
        <v>202208585</v>
      </c>
      <c r="AP551" s="181">
        <f t="shared" si="275"/>
        <v>53836866</v>
      </c>
      <c r="AQ551" s="193"/>
      <c r="AR551" s="193"/>
      <c r="AS551" s="193"/>
      <c r="AT551" s="193"/>
      <c r="AU551" s="193"/>
      <c r="AV551" s="194" t="s">
        <v>174</v>
      </c>
      <c r="AW551" s="194" t="s">
        <v>175</v>
      </c>
      <c r="AX551" s="193"/>
      <c r="AY551" s="167">
        <f t="shared" si="276"/>
        <v>4.9999967076485602E-2</v>
      </c>
      <c r="AZ551" s="139">
        <f t="shared" si="263"/>
        <v>0</v>
      </c>
      <c r="BA551" s="139">
        <f>IF(T551="Invitación Privada",1,IF(T551="Invitación Pública",2,0))</f>
        <v>0</v>
      </c>
      <c r="BB551" s="132">
        <f>IF(AA551="CONTRATADO",IF(BA551=1,NETWORKDAYS.INTL(E551,AD551,1,[1]FESTIVOS!$B$3:$B$10)-1,AD551-E551))-BD551</f>
        <v>14</v>
      </c>
    </row>
    <row r="552" spans="2:57" ht="43.9" customHeight="1" x14ac:dyDescent="0.25">
      <c r="B552" s="100">
        <f t="shared" si="261"/>
        <v>534</v>
      </c>
      <c r="C552" s="110" t="s">
        <v>3613</v>
      </c>
      <c r="D552" s="99" t="s">
        <v>332</v>
      </c>
      <c r="E552" s="197">
        <v>44818</v>
      </c>
      <c r="F552" s="268" t="s">
        <v>4262</v>
      </c>
      <c r="G552" s="188" t="s">
        <v>2782</v>
      </c>
      <c r="H552" s="188" t="s">
        <v>2783</v>
      </c>
      <c r="I552" s="96" t="s">
        <v>146</v>
      </c>
      <c r="J552" s="188" t="s">
        <v>3614</v>
      </c>
      <c r="K552" s="351">
        <v>118488510</v>
      </c>
      <c r="L552" s="194" t="s">
        <v>3983</v>
      </c>
      <c r="M552" s="96" t="s">
        <v>3615</v>
      </c>
      <c r="N552" s="96"/>
      <c r="O552" s="194" t="s">
        <v>3616</v>
      </c>
      <c r="P552" s="198">
        <v>118488510</v>
      </c>
      <c r="Q552" s="96" t="s">
        <v>146</v>
      </c>
      <c r="R552" s="96" t="s">
        <v>146</v>
      </c>
      <c r="S552" s="99" t="s">
        <v>146</v>
      </c>
      <c r="T552" s="111" t="s">
        <v>43</v>
      </c>
      <c r="U552" s="96" t="s">
        <v>277</v>
      </c>
      <c r="V552" s="199">
        <v>44818</v>
      </c>
      <c r="W552" s="186">
        <v>55</v>
      </c>
      <c r="X552" s="99">
        <v>55</v>
      </c>
      <c r="Y552" s="194" t="s">
        <v>1755</v>
      </c>
      <c r="Z552" s="99" t="s">
        <v>168</v>
      </c>
      <c r="AA552" s="99" t="s">
        <v>169</v>
      </c>
      <c r="AB552" s="188" t="s">
        <v>3617</v>
      </c>
      <c r="AC552" s="188"/>
      <c r="AD552" s="199">
        <v>44837</v>
      </c>
      <c r="AE552" s="183" t="s">
        <v>4271</v>
      </c>
      <c r="AF552" s="186">
        <v>19</v>
      </c>
      <c r="AG552" s="186"/>
      <c r="AH552" s="187">
        <v>19</v>
      </c>
      <c r="AI552" s="194" t="s">
        <v>258</v>
      </c>
      <c r="AJ552" s="188" t="s">
        <v>171</v>
      </c>
      <c r="AK552" s="194" t="s">
        <v>3984</v>
      </c>
      <c r="AL552" s="199">
        <v>44819</v>
      </c>
      <c r="AM552" s="204">
        <v>118488510</v>
      </c>
      <c r="AN552" s="194" t="s">
        <v>3985</v>
      </c>
      <c r="AO552" s="194">
        <v>202208527</v>
      </c>
      <c r="AP552" s="181">
        <f t="shared" si="275"/>
        <v>0</v>
      </c>
      <c r="AQ552" s="194" t="s">
        <v>174</v>
      </c>
      <c r="AR552" s="194" t="s">
        <v>175</v>
      </c>
      <c r="AS552" s="203"/>
      <c r="AT552" s="200"/>
      <c r="AU552" s="200"/>
      <c r="AV552" s="260"/>
      <c r="AW552" s="260"/>
      <c r="AX552" s="260"/>
      <c r="AY552" s="167">
        <f t="shared" si="276"/>
        <v>0</v>
      </c>
      <c r="AZ552" s="139">
        <f t="shared" si="263"/>
        <v>0</v>
      </c>
      <c r="BA552" s="139">
        <f>IF(T552="Invitación Privada",1,IF(T552="Invitación Pública",2,0))</f>
        <v>1</v>
      </c>
      <c r="BB552" s="132">
        <f>IF(AA552="CONTRATADO",IF(BA552=1,NETWORKDAYS.INTL(E552,AD552,1,[1]FESTIVOS!$B$3:$B$10)-1,AD552-E552))-BD552</f>
        <v>13</v>
      </c>
      <c r="BD552" s="207">
        <v>0</v>
      </c>
      <c r="BE552" s="208"/>
    </row>
    <row r="553" spans="2:57" ht="43.9" customHeight="1" x14ac:dyDescent="0.25">
      <c r="B553" s="100">
        <f t="shared" si="261"/>
        <v>535</v>
      </c>
      <c r="C553" s="110" t="s">
        <v>3866</v>
      </c>
      <c r="D553" s="99" t="s">
        <v>32</v>
      </c>
      <c r="E553" s="197">
        <v>44819</v>
      </c>
      <c r="F553" s="268" t="s">
        <v>4262</v>
      </c>
      <c r="G553" s="201" t="s">
        <v>255</v>
      </c>
      <c r="H553" s="188" t="s">
        <v>2915</v>
      </c>
      <c r="I553" s="96" t="s">
        <v>146</v>
      </c>
      <c r="J553" s="188" t="s">
        <v>2916</v>
      </c>
      <c r="K553" s="351">
        <v>449226785</v>
      </c>
      <c r="L553" s="194" t="s">
        <v>3030</v>
      </c>
      <c r="M553" s="194" t="s">
        <v>3867</v>
      </c>
      <c r="N553" s="194"/>
      <c r="O553" s="194">
        <v>202205366</v>
      </c>
      <c r="P553" s="198">
        <v>449226785</v>
      </c>
      <c r="Q553" s="194" t="s">
        <v>146</v>
      </c>
      <c r="R553" s="194" t="s">
        <v>146</v>
      </c>
      <c r="S553" s="194"/>
      <c r="T553" s="111" t="s">
        <v>43</v>
      </c>
      <c r="U553" s="96" t="s">
        <v>452</v>
      </c>
      <c r="V553" s="197">
        <v>44819</v>
      </c>
      <c r="W553" s="186" t="e">
        <f t="shared" ref="W553:W566" si="277">+$D$4-E553</f>
        <v>#VALUE!</v>
      </c>
      <c r="X553" s="99" t="e">
        <f t="shared" ref="X553:X566" si="278">$D$4-V553</f>
        <v>#VALUE!</v>
      </c>
      <c r="Y553" s="194" t="s">
        <v>1317</v>
      </c>
      <c r="Z553" s="99" t="s">
        <v>168</v>
      </c>
      <c r="AA553" s="99" t="s">
        <v>169</v>
      </c>
      <c r="AB553" s="188"/>
      <c r="AC553" s="194"/>
      <c r="AD553" s="199">
        <v>44827</v>
      </c>
      <c r="AE553" s="183" t="s">
        <v>4262</v>
      </c>
      <c r="AF553" s="183"/>
      <c r="AG553" s="186">
        <f t="shared" ref="AG553:AG566" si="279">+AD553-E553</f>
        <v>8</v>
      </c>
      <c r="AH553" s="187">
        <f t="shared" ref="AH553:AH566" si="280">+AD553-V553</f>
        <v>8</v>
      </c>
      <c r="AI553" s="194" t="s">
        <v>258</v>
      </c>
      <c r="AJ553" s="188" t="s">
        <v>155</v>
      </c>
      <c r="AK553" s="194" t="s">
        <v>3868</v>
      </c>
      <c r="AL553" s="199">
        <v>44819</v>
      </c>
      <c r="AM553" s="209">
        <v>163548143</v>
      </c>
      <c r="AN553" s="188" t="s">
        <v>3869</v>
      </c>
      <c r="AO553" s="194">
        <v>202208551</v>
      </c>
      <c r="AP553" s="181">
        <f t="shared" si="275"/>
        <v>285678642</v>
      </c>
      <c r="AQ553" s="193"/>
      <c r="AR553" s="193"/>
      <c r="AS553" s="194"/>
      <c r="AT553" s="194"/>
      <c r="AU553" s="193"/>
      <c r="AV553" s="194" t="s">
        <v>174</v>
      </c>
      <c r="AW553" s="194" t="s">
        <v>175</v>
      </c>
      <c r="AX553" s="193"/>
      <c r="AY553" s="167">
        <f t="shared" si="276"/>
        <v>0.63593412400821114</v>
      </c>
      <c r="AZ553" s="139">
        <f t="shared" si="263"/>
        <v>1</v>
      </c>
      <c r="BA553" s="139">
        <f>IF(T553="Invitación Privada",1,IF(T553="Invitación Pública",2,0))</f>
        <v>1</v>
      </c>
      <c r="BB553" s="132">
        <f>IF(AA553="CONTRATADO",IF(BA553=1,NETWORKDAYS.INTL(E553,AD553,1,[1]FESTIVOS!$B$3:$B$10)-1,AD553-E553))-BD553</f>
        <v>6</v>
      </c>
    </row>
    <row r="554" spans="2:57" ht="43.9" customHeight="1" x14ac:dyDescent="0.25">
      <c r="B554" s="100">
        <f t="shared" si="261"/>
        <v>536</v>
      </c>
      <c r="C554" s="110" t="s">
        <v>3870</v>
      </c>
      <c r="D554" s="99" t="s">
        <v>359</v>
      </c>
      <c r="E554" s="197">
        <v>44819</v>
      </c>
      <c r="F554" s="268" t="s">
        <v>4262</v>
      </c>
      <c r="G554" s="188" t="s">
        <v>3871</v>
      </c>
      <c r="H554" s="188" t="s">
        <v>3872</v>
      </c>
      <c r="I554" s="96" t="s">
        <v>146</v>
      </c>
      <c r="J554" s="213" t="s">
        <v>3873</v>
      </c>
      <c r="K554" s="351">
        <v>391316625</v>
      </c>
      <c r="L554" s="194" t="s">
        <v>3427</v>
      </c>
      <c r="M554" s="194" t="s">
        <v>3874</v>
      </c>
      <c r="N554" s="194"/>
      <c r="O554" s="194">
        <v>202205681</v>
      </c>
      <c r="P554" s="185"/>
      <c r="Q554" s="194" t="s">
        <v>146</v>
      </c>
      <c r="R554" s="194" t="s">
        <v>146</v>
      </c>
      <c r="S554" s="194"/>
      <c r="T554" s="111" t="s">
        <v>43</v>
      </c>
      <c r="U554" s="96" t="s">
        <v>151</v>
      </c>
      <c r="V554" s="197">
        <v>44819</v>
      </c>
      <c r="W554" s="186" t="e">
        <f t="shared" si="277"/>
        <v>#VALUE!</v>
      </c>
      <c r="X554" s="99" t="e">
        <f t="shared" si="278"/>
        <v>#VALUE!</v>
      </c>
      <c r="Y554" s="194" t="s">
        <v>1317</v>
      </c>
      <c r="Z554" s="99" t="s">
        <v>168</v>
      </c>
      <c r="AA554" s="99" t="s">
        <v>169</v>
      </c>
      <c r="AB554" s="188"/>
      <c r="AC554" s="194"/>
      <c r="AD554" s="199">
        <v>44825</v>
      </c>
      <c r="AE554" s="183" t="s">
        <v>4262</v>
      </c>
      <c r="AF554" s="183"/>
      <c r="AG554" s="186">
        <f t="shared" si="279"/>
        <v>6</v>
      </c>
      <c r="AH554" s="187">
        <f t="shared" si="280"/>
        <v>6</v>
      </c>
      <c r="AI554" s="194" t="s">
        <v>258</v>
      </c>
      <c r="AJ554" s="188" t="s">
        <v>171</v>
      </c>
      <c r="AK554" s="194" t="s">
        <v>3875</v>
      </c>
      <c r="AL554" s="199">
        <v>44819</v>
      </c>
      <c r="AM554" s="209">
        <v>391316625</v>
      </c>
      <c r="AN554" s="188" t="s">
        <v>3876</v>
      </c>
      <c r="AO554" s="194"/>
      <c r="AP554" s="181">
        <f t="shared" si="275"/>
        <v>0</v>
      </c>
      <c r="AQ554" s="193"/>
      <c r="AR554" s="193"/>
      <c r="AS554" s="194"/>
      <c r="AT554" s="194"/>
      <c r="AU554" s="193"/>
      <c r="AV554" s="194"/>
      <c r="AW554" s="194"/>
      <c r="AX554" s="193"/>
      <c r="AY554" s="167">
        <f t="shared" si="276"/>
        <v>0</v>
      </c>
      <c r="AZ554" s="139">
        <f t="shared" si="263"/>
        <v>0</v>
      </c>
      <c r="BA554" s="139">
        <f>IF(T554="Invitación Privada",1,IF(T554="Invitación Pública",2,0))</f>
        <v>1</v>
      </c>
      <c r="BB554" s="132">
        <f>IF(AA554="CONTRATADO",IF(BA554=1,NETWORKDAYS.INTL(E554,AD554,1,[1]FESTIVOS!$B$3:$B$10)-1,AD554-E554))-BD554</f>
        <v>4</v>
      </c>
    </row>
    <row r="555" spans="2:57" ht="43.9" customHeight="1" x14ac:dyDescent="0.25">
      <c r="B555" s="100">
        <f t="shared" si="261"/>
        <v>537</v>
      </c>
      <c r="C555" s="293" t="s">
        <v>3618</v>
      </c>
      <c r="D555" s="265" t="s">
        <v>1559</v>
      </c>
      <c r="E555" s="272">
        <v>44820</v>
      </c>
      <c r="F555" s="268" t="s">
        <v>4262</v>
      </c>
      <c r="G555" s="269" t="s">
        <v>3619</v>
      </c>
      <c r="H555" s="265" t="s">
        <v>3620</v>
      </c>
      <c r="I555" s="265" t="s">
        <v>146</v>
      </c>
      <c r="J555" s="269" t="s">
        <v>3621</v>
      </c>
      <c r="K555" s="342">
        <v>115099000</v>
      </c>
      <c r="L555" s="270"/>
      <c r="M555" s="265"/>
      <c r="N555" s="302" t="str">
        <f t="shared" ref="N555:N566" si="281">MID(M555,5,3)</f>
        <v/>
      </c>
      <c r="O555" s="265">
        <v>202203611</v>
      </c>
      <c r="P555" s="271"/>
      <c r="Q555" s="265"/>
      <c r="R555" s="265"/>
      <c r="S555" s="265"/>
      <c r="T555" s="280" t="str">
        <f>(IF(N555="IPU","INVITACION PUBLICA",(IF(N555="IP-","INVITACION PRIVADA"," "))))</f>
        <v xml:space="preserve"> </v>
      </c>
      <c r="U555" s="269" t="s">
        <v>1326</v>
      </c>
      <c r="V555" s="265"/>
      <c r="W555" s="303" t="e">
        <f t="shared" si="277"/>
        <v>#VALUE!</v>
      </c>
      <c r="X555" s="303" t="e">
        <f t="shared" si="278"/>
        <v>#VALUE!</v>
      </c>
      <c r="Y555" s="265" t="s">
        <v>1300</v>
      </c>
      <c r="Z555" s="265" t="s">
        <v>214</v>
      </c>
      <c r="AA555" s="265" t="s">
        <v>215</v>
      </c>
      <c r="AB555" s="265"/>
      <c r="AC555" s="304" t="s">
        <v>3926</v>
      </c>
      <c r="AD555" s="272">
        <v>44820</v>
      </c>
      <c r="AE555" s="265"/>
      <c r="AF555" s="305" t="str">
        <f t="shared" ref="AF555:AF566" si="282">+IF(AD555="","",TEXT(AD555,"mmm"))</f>
        <v>sep</v>
      </c>
      <c r="AG555" s="306">
        <f t="shared" si="279"/>
        <v>0</v>
      </c>
      <c r="AH555" s="307">
        <f t="shared" si="280"/>
        <v>44820</v>
      </c>
      <c r="AI555" s="265"/>
      <c r="AJ555" s="265" t="s">
        <v>171</v>
      </c>
      <c r="AK555" s="265"/>
      <c r="AL555" s="265"/>
      <c r="AM555" s="309"/>
      <c r="AN555" s="269"/>
      <c r="AO555" s="265"/>
      <c r="AP555" s="309"/>
      <c r="AQ555" s="289"/>
      <c r="AR555" s="269"/>
      <c r="AS555" s="265"/>
      <c r="AT555" s="260"/>
      <c r="AU555" s="260"/>
      <c r="AV555" s="200"/>
      <c r="AW555" s="200"/>
      <c r="AX555" s="200"/>
      <c r="AY555" s="200"/>
      <c r="AZ555" s="139">
        <f t="shared" si="263"/>
        <v>0</v>
      </c>
      <c r="BA555" s="200"/>
      <c r="BB555" s="203"/>
      <c r="BC555" s="95"/>
      <c r="BD555" s="2"/>
      <c r="BE555" s="2"/>
    </row>
    <row r="556" spans="2:57" ht="43.9" customHeight="1" x14ac:dyDescent="0.25">
      <c r="B556" s="100">
        <f t="shared" si="261"/>
        <v>538</v>
      </c>
      <c r="C556" s="293" t="s">
        <v>3622</v>
      </c>
      <c r="D556" s="312" t="s">
        <v>32</v>
      </c>
      <c r="E556" s="272">
        <v>44823</v>
      </c>
      <c r="F556" s="268" t="s">
        <v>4262</v>
      </c>
      <c r="G556" s="287" t="s">
        <v>972</v>
      </c>
      <c r="H556" s="265" t="s">
        <v>973</v>
      </c>
      <c r="I556" s="265" t="s">
        <v>146</v>
      </c>
      <c r="J556" s="269" t="s">
        <v>3623</v>
      </c>
      <c r="K556" s="342">
        <v>106255100</v>
      </c>
      <c r="L556" s="270"/>
      <c r="M556" s="265"/>
      <c r="N556" s="302" t="str">
        <f t="shared" si="281"/>
        <v/>
      </c>
      <c r="O556" s="265">
        <v>202205421</v>
      </c>
      <c r="P556" s="271"/>
      <c r="Q556" s="265"/>
      <c r="R556" s="265"/>
      <c r="S556" s="265"/>
      <c r="T556" s="280" t="str">
        <f>(IF(N556="IPU","INVITACION PUBLICA",(IF(N556="IP-","INVITACION PRIVADA"," "))))</f>
        <v xml:space="preserve"> </v>
      </c>
      <c r="U556" s="269" t="s">
        <v>1326</v>
      </c>
      <c r="V556" s="265"/>
      <c r="W556" s="303" t="e">
        <f t="shared" si="277"/>
        <v>#VALUE!</v>
      </c>
      <c r="X556" s="303" t="e">
        <f t="shared" si="278"/>
        <v>#VALUE!</v>
      </c>
      <c r="Y556" s="265" t="s">
        <v>1300</v>
      </c>
      <c r="Z556" s="265" t="s">
        <v>214</v>
      </c>
      <c r="AA556" s="265" t="s">
        <v>215</v>
      </c>
      <c r="AB556" s="265"/>
      <c r="AC556" s="304" t="s">
        <v>3926</v>
      </c>
      <c r="AD556" s="272">
        <v>44820</v>
      </c>
      <c r="AE556" s="265"/>
      <c r="AF556" s="305" t="str">
        <f t="shared" si="282"/>
        <v>sep</v>
      </c>
      <c r="AG556" s="306">
        <f t="shared" si="279"/>
        <v>-3</v>
      </c>
      <c r="AH556" s="307">
        <f t="shared" si="280"/>
        <v>44820</v>
      </c>
      <c r="AI556" s="265"/>
      <c r="AJ556" s="265" t="s">
        <v>171</v>
      </c>
      <c r="AK556" s="265"/>
      <c r="AL556" s="265"/>
      <c r="AM556" s="309"/>
      <c r="AN556" s="269"/>
      <c r="AO556" s="265"/>
      <c r="AP556" s="309"/>
      <c r="AQ556" s="289"/>
      <c r="AR556" s="269"/>
      <c r="AS556" s="265"/>
      <c r="AT556" s="260"/>
      <c r="AU556" s="260"/>
      <c r="AV556" s="200"/>
      <c r="AW556" s="200"/>
      <c r="AX556" s="200"/>
      <c r="AY556" s="200"/>
      <c r="AZ556" s="139">
        <f t="shared" si="263"/>
        <v>1</v>
      </c>
      <c r="BA556" s="200"/>
      <c r="BB556" s="203"/>
      <c r="BC556" s="95"/>
      <c r="BD556" s="2"/>
      <c r="BE556" s="2"/>
    </row>
    <row r="557" spans="2:57" ht="43.9" customHeight="1" x14ac:dyDescent="0.25">
      <c r="B557" s="100">
        <f t="shared" si="261"/>
        <v>539</v>
      </c>
      <c r="C557" s="293" t="s">
        <v>3624</v>
      </c>
      <c r="D557" s="312" t="s">
        <v>32</v>
      </c>
      <c r="E557" s="272">
        <v>44823</v>
      </c>
      <c r="F557" s="268" t="s">
        <v>4262</v>
      </c>
      <c r="G557" s="287" t="s">
        <v>3625</v>
      </c>
      <c r="H557" s="265" t="s">
        <v>3626</v>
      </c>
      <c r="I557" s="265" t="s">
        <v>146</v>
      </c>
      <c r="J557" s="269" t="s">
        <v>3627</v>
      </c>
      <c r="K557" s="342">
        <v>35283500</v>
      </c>
      <c r="L557" s="270"/>
      <c r="M557" s="265"/>
      <c r="N557" s="302" t="str">
        <f t="shared" si="281"/>
        <v/>
      </c>
      <c r="O557" s="265">
        <v>202205966</v>
      </c>
      <c r="P557" s="271"/>
      <c r="Q557" s="265"/>
      <c r="R557" s="265"/>
      <c r="S557" s="265"/>
      <c r="T557" s="280" t="str">
        <f>(IF(N557="IPU","INVITACION PUBLICA",(IF(N557="IP-","INVITACION PRIVADA"," "))))</f>
        <v xml:space="preserve"> </v>
      </c>
      <c r="U557" s="269" t="s">
        <v>1326</v>
      </c>
      <c r="V557" s="265"/>
      <c r="W557" s="303" t="e">
        <f t="shared" si="277"/>
        <v>#VALUE!</v>
      </c>
      <c r="X557" s="303" t="e">
        <f t="shared" si="278"/>
        <v>#VALUE!</v>
      </c>
      <c r="Y557" s="265" t="s">
        <v>1300</v>
      </c>
      <c r="Z557" s="265" t="s">
        <v>214</v>
      </c>
      <c r="AA557" s="265" t="s">
        <v>215</v>
      </c>
      <c r="AB557" s="265"/>
      <c r="AC557" s="304" t="s">
        <v>3926</v>
      </c>
      <c r="AD557" s="272">
        <v>44820</v>
      </c>
      <c r="AE557" s="265"/>
      <c r="AF557" s="305" t="str">
        <f t="shared" si="282"/>
        <v>sep</v>
      </c>
      <c r="AG557" s="306">
        <f t="shared" si="279"/>
        <v>-3</v>
      </c>
      <c r="AH557" s="307">
        <f t="shared" si="280"/>
        <v>44820</v>
      </c>
      <c r="AI557" s="265"/>
      <c r="AJ557" s="265" t="s">
        <v>171</v>
      </c>
      <c r="AK557" s="265"/>
      <c r="AL557" s="265"/>
      <c r="AM557" s="309"/>
      <c r="AN557" s="269"/>
      <c r="AO557" s="265"/>
      <c r="AP557" s="309"/>
      <c r="AQ557" s="289"/>
      <c r="AR557" s="269"/>
      <c r="AS557" s="265"/>
      <c r="AT557" s="260"/>
      <c r="AU557" s="260"/>
      <c r="AV557" s="200"/>
      <c r="AW557" s="200"/>
      <c r="AX557" s="200"/>
      <c r="AY557" s="200"/>
      <c r="AZ557" s="139">
        <f t="shared" si="263"/>
        <v>1</v>
      </c>
      <c r="BA557" s="200"/>
      <c r="BB557" s="203"/>
      <c r="BC557" s="95"/>
      <c r="BD557" s="2"/>
      <c r="BE557" s="2"/>
    </row>
    <row r="558" spans="2:57" ht="43.9" customHeight="1" x14ac:dyDescent="0.25">
      <c r="B558" s="100">
        <f t="shared" si="261"/>
        <v>540</v>
      </c>
      <c r="C558" s="293" t="s">
        <v>3628</v>
      </c>
      <c r="D558" s="312" t="s">
        <v>32</v>
      </c>
      <c r="E558" s="272">
        <v>44823</v>
      </c>
      <c r="F558" s="268" t="s">
        <v>4262</v>
      </c>
      <c r="G558" s="287" t="s">
        <v>3629</v>
      </c>
      <c r="H558" s="265" t="s">
        <v>3630</v>
      </c>
      <c r="I558" s="265" t="s">
        <v>146</v>
      </c>
      <c r="J558" s="269" t="s">
        <v>3631</v>
      </c>
      <c r="K558" s="342">
        <v>35700000</v>
      </c>
      <c r="L558" s="270"/>
      <c r="M558" s="265"/>
      <c r="N558" s="302" t="str">
        <f t="shared" si="281"/>
        <v/>
      </c>
      <c r="O558" s="265">
        <v>202205967</v>
      </c>
      <c r="P558" s="271"/>
      <c r="Q558" s="265"/>
      <c r="R558" s="265"/>
      <c r="S558" s="265"/>
      <c r="T558" s="280" t="str">
        <f>(IF(N558="IPU","INVITACION PUBLICA",(IF(N558="IP-","INVITACION PRIVADA"," "))))</f>
        <v xml:space="preserve"> </v>
      </c>
      <c r="U558" s="269" t="s">
        <v>1326</v>
      </c>
      <c r="V558" s="265"/>
      <c r="W558" s="303" t="e">
        <f t="shared" si="277"/>
        <v>#VALUE!</v>
      </c>
      <c r="X558" s="303" t="e">
        <f t="shared" si="278"/>
        <v>#VALUE!</v>
      </c>
      <c r="Y558" s="265" t="s">
        <v>1300</v>
      </c>
      <c r="Z558" s="265" t="s">
        <v>214</v>
      </c>
      <c r="AA558" s="265" t="s">
        <v>215</v>
      </c>
      <c r="AB558" s="265"/>
      <c r="AC558" s="304"/>
      <c r="AD558" s="272">
        <v>44820</v>
      </c>
      <c r="AE558" s="265"/>
      <c r="AF558" s="305" t="str">
        <f t="shared" si="282"/>
        <v>sep</v>
      </c>
      <c r="AG558" s="306">
        <f t="shared" si="279"/>
        <v>-3</v>
      </c>
      <c r="AH558" s="307">
        <f t="shared" si="280"/>
        <v>44820</v>
      </c>
      <c r="AI558" s="265"/>
      <c r="AJ558" s="265" t="s">
        <v>171</v>
      </c>
      <c r="AK558" s="265"/>
      <c r="AL558" s="265"/>
      <c r="AM558" s="309"/>
      <c r="AN558" s="269"/>
      <c r="AO558" s="265"/>
      <c r="AP558" s="309"/>
      <c r="AQ558" s="289"/>
      <c r="AR558" s="269"/>
      <c r="AS558" s="265"/>
      <c r="AT558" s="260"/>
      <c r="AU558" s="260"/>
      <c r="AV558" s="200"/>
      <c r="AW558" s="200"/>
      <c r="AX558" s="200"/>
      <c r="AY558" s="200"/>
      <c r="AZ558" s="139">
        <f t="shared" si="263"/>
        <v>1</v>
      </c>
      <c r="BA558" s="200"/>
      <c r="BB558" s="203"/>
      <c r="BC558" s="95"/>
      <c r="BD558" s="2"/>
      <c r="BE558" s="2"/>
    </row>
    <row r="559" spans="2:57" ht="43.9" customHeight="1" x14ac:dyDescent="0.25">
      <c r="B559" s="100">
        <f t="shared" si="261"/>
        <v>541</v>
      </c>
      <c r="C559" s="293" t="s">
        <v>3632</v>
      </c>
      <c r="D559" s="312" t="s">
        <v>32</v>
      </c>
      <c r="E559" s="272">
        <v>44824</v>
      </c>
      <c r="F559" s="268" t="s">
        <v>4262</v>
      </c>
      <c r="G559" s="287" t="s">
        <v>4095</v>
      </c>
      <c r="H559" s="265" t="s">
        <v>2919</v>
      </c>
      <c r="I559" s="265" t="s">
        <v>146</v>
      </c>
      <c r="J559" s="269" t="s">
        <v>2920</v>
      </c>
      <c r="K559" s="342">
        <v>161640675</v>
      </c>
      <c r="L559" s="270"/>
      <c r="M559" s="294" t="s">
        <v>4096</v>
      </c>
      <c r="N559" s="302" t="str">
        <f t="shared" si="281"/>
        <v>IP-</v>
      </c>
      <c r="O559" s="265">
        <v>202205359</v>
      </c>
      <c r="P559" s="271"/>
      <c r="Q559" s="265" t="s">
        <v>146</v>
      </c>
      <c r="R559" s="265" t="s">
        <v>146</v>
      </c>
      <c r="S559" s="265" t="s">
        <v>146</v>
      </c>
      <c r="T559" s="111" t="s">
        <v>43</v>
      </c>
      <c r="U559" s="269" t="s">
        <v>921</v>
      </c>
      <c r="V559" s="272">
        <v>44824</v>
      </c>
      <c r="W559" s="303" t="e">
        <f t="shared" si="277"/>
        <v>#VALUE!</v>
      </c>
      <c r="X559" s="303" t="e">
        <f t="shared" si="278"/>
        <v>#VALUE!</v>
      </c>
      <c r="Y559" s="265"/>
      <c r="Z559" s="265" t="s">
        <v>152</v>
      </c>
      <c r="AA559" s="265" t="s">
        <v>153</v>
      </c>
      <c r="AB559" s="272">
        <v>44922</v>
      </c>
      <c r="AC559" s="304" t="s">
        <v>4334</v>
      </c>
      <c r="AD559" s="272">
        <v>44922</v>
      </c>
      <c r="AE559" s="265"/>
      <c r="AF559" s="305" t="str">
        <f t="shared" si="282"/>
        <v>dic</v>
      </c>
      <c r="AG559" s="306">
        <f t="shared" si="279"/>
        <v>98</v>
      </c>
      <c r="AH559" s="307">
        <f t="shared" si="280"/>
        <v>98</v>
      </c>
      <c r="AI559" s="265"/>
      <c r="AJ559" s="265" t="s">
        <v>155</v>
      </c>
      <c r="AK559" s="265"/>
      <c r="AL559" s="265"/>
      <c r="AM559" s="265"/>
      <c r="AN559" s="309"/>
      <c r="AO559" s="269"/>
      <c r="AP559" s="265"/>
      <c r="AQ559" s="309"/>
      <c r="AR559" s="289"/>
      <c r="AS559" s="269"/>
      <c r="AT559" s="265"/>
      <c r="AU559" s="260"/>
      <c r="AV559" s="260"/>
      <c r="AW559" s="200"/>
      <c r="AX559" s="200"/>
      <c r="AY559" s="200"/>
      <c r="AZ559" s="139">
        <f t="shared" si="263"/>
        <v>1</v>
      </c>
      <c r="BA559" s="200"/>
      <c r="BB559" s="200"/>
      <c r="BC559" s="3"/>
      <c r="BD559" s="95"/>
      <c r="BE559" s="2"/>
    </row>
    <row r="560" spans="2:57" ht="43.9" customHeight="1" x14ac:dyDescent="0.25">
      <c r="B560" s="100">
        <f t="shared" si="261"/>
        <v>542</v>
      </c>
      <c r="C560" s="293" t="s">
        <v>3633</v>
      </c>
      <c r="D560" s="265" t="s">
        <v>28</v>
      </c>
      <c r="E560" s="272">
        <v>44824</v>
      </c>
      <c r="F560" s="268" t="s">
        <v>4262</v>
      </c>
      <c r="G560" s="269" t="s">
        <v>3634</v>
      </c>
      <c r="H560" s="265" t="s">
        <v>3635</v>
      </c>
      <c r="I560" s="265" t="s">
        <v>146</v>
      </c>
      <c r="J560" s="269" t="s">
        <v>3636</v>
      </c>
      <c r="K560" s="342">
        <v>500000000</v>
      </c>
      <c r="L560" s="270"/>
      <c r="M560" s="294" t="s">
        <v>4035</v>
      </c>
      <c r="N560" s="302" t="str">
        <f t="shared" si="281"/>
        <v>IP-</v>
      </c>
      <c r="O560" s="265">
        <v>202205979</v>
      </c>
      <c r="P560" s="271"/>
      <c r="Q560" s="265"/>
      <c r="R560" s="265"/>
      <c r="S560" s="265"/>
      <c r="T560" s="111" t="s">
        <v>43</v>
      </c>
      <c r="U560" s="269" t="s">
        <v>4036</v>
      </c>
      <c r="V560" s="272">
        <v>44868</v>
      </c>
      <c r="W560" s="303" t="e">
        <f t="shared" si="277"/>
        <v>#VALUE!</v>
      </c>
      <c r="X560" s="303" t="e">
        <f t="shared" si="278"/>
        <v>#VALUE!</v>
      </c>
      <c r="Y560" s="265" t="s">
        <v>1300</v>
      </c>
      <c r="Z560" s="265" t="s">
        <v>4037</v>
      </c>
      <c r="AA560" s="265" t="s">
        <v>215</v>
      </c>
      <c r="AB560" s="272">
        <v>44889</v>
      </c>
      <c r="AC560" s="304" t="s">
        <v>3926</v>
      </c>
      <c r="AD560" s="272">
        <v>44908</v>
      </c>
      <c r="AE560" s="265"/>
      <c r="AF560" s="305" t="str">
        <f t="shared" si="282"/>
        <v>dic</v>
      </c>
      <c r="AG560" s="306">
        <f t="shared" si="279"/>
        <v>84</v>
      </c>
      <c r="AH560" s="307">
        <f t="shared" si="280"/>
        <v>40</v>
      </c>
      <c r="AI560" s="265"/>
      <c r="AJ560" s="265" t="s">
        <v>171</v>
      </c>
      <c r="AK560" s="265"/>
      <c r="AL560" s="265"/>
      <c r="AM560" s="309"/>
      <c r="AN560" s="269"/>
      <c r="AO560" s="265"/>
      <c r="AP560" s="309"/>
      <c r="AQ560" s="289"/>
      <c r="AR560" s="269"/>
      <c r="AS560" s="265"/>
      <c r="AT560" s="260"/>
      <c r="AU560" s="260"/>
      <c r="AV560" s="200"/>
      <c r="AW560" s="200"/>
      <c r="AX560" s="200"/>
      <c r="AY560" s="200"/>
      <c r="AZ560" s="139">
        <f t="shared" si="263"/>
        <v>1</v>
      </c>
      <c r="BA560" s="200"/>
      <c r="BB560" s="203"/>
      <c r="BC560" s="95"/>
      <c r="BD560" s="2"/>
      <c r="BE560" s="2"/>
    </row>
    <row r="561" spans="2:57" ht="43.9" customHeight="1" x14ac:dyDescent="0.25">
      <c r="B561" s="100">
        <f t="shared" si="261"/>
        <v>543</v>
      </c>
      <c r="C561" s="293" t="s">
        <v>3637</v>
      </c>
      <c r="D561" s="265" t="s">
        <v>1559</v>
      </c>
      <c r="E561" s="272">
        <v>44824</v>
      </c>
      <c r="F561" s="268" t="s">
        <v>4262</v>
      </c>
      <c r="G561" s="269" t="s">
        <v>3638</v>
      </c>
      <c r="H561" s="265" t="s">
        <v>3639</v>
      </c>
      <c r="I561" s="265" t="s">
        <v>146</v>
      </c>
      <c r="J561" s="269" t="s">
        <v>3640</v>
      </c>
      <c r="K561" s="342">
        <v>478845428</v>
      </c>
      <c r="L561" s="270"/>
      <c r="M561" s="294"/>
      <c r="N561" s="302" t="str">
        <f t="shared" si="281"/>
        <v/>
      </c>
      <c r="O561" s="265">
        <v>202204472</v>
      </c>
      <c r="P561" s="271"/>
      <c r="Q561" s="265"/>
      <c r="R561" s="265"/>
      <c r="S561" s="265"/>
      <c r="T561" s="280" t="str">
        <f>(IF(N561="IPU","INVITACION PUBLICA",(IF(N561="IP-","INVITACION PRIVADA"," "))))</f>
        <v xml:space="preserve"> </v>
      </c>
      <c r="U561" s="269" t="s">
        <v>503</v>
      </c>
      <c r="V561" s="272">
        <v>44874</v>
      </c>
      <c r="W561" s="303" t="e">
        <f t="shared" si="277"/>
        <v>#VALUE!</v>
      </c>
      <c r="X561" s="303" t="e">
        <f t="shared" si="278"/>
        <v>#VALUE!</v>
      </c>
      <c r="Y561" s="265" t="s">
        <v>1300</v>
      </c>
      <c r="Z561" s="265" t="s">
        <v>214</v>
      </c>
      <c r="AA561" s="265" t="s">
        <v>215</v>
      </c>
      <c r="AB561" s="265"/>
      <c r="AC561" s="304" t="s">
        <v>3926</v>
      </c>
      <c r="AD561" s="272">
        <v>44921</v>
      </c>
      <c r="AE561" s="265"/>
      <c r="AF561" s="305" t="str">
        <f t="shared" si="282"/>
        <v>dic</v>
      </c>
      <c r="AG561" s="306">
        <f t="shared" si="279"/>
        <v>97</v>
      </c>
      <c r="AH561" s="307">
        <f t="shared" si="280"/>
        <v>47</v>
      </c>
      <c r="AI561" s="265"/>
      <c r="AJ561" s="265" t="s">
        <v>155</v>
      </c>
      <c r="AK561" s="265"/>
      <c r="AL561" s="265"/>
      <c r="AM561" s="309"/>
      <c r="AN561" s="269"/>
      <c r="AO561" s="265"/>
      <c r="AP561" s="309"/>
      <c r="AQ561" s="289"/>
      <c r="AR561" s="269"/>
      <c r="AS561" s="265"/>
      <c r="AT561" s="260"/>
      <c r="AU561" s="260"/>
      <c r="AV561" s="200"/>
      <c r="AW561" s="200"/>
      <c r="AX561" s="200"/>
      <c r="AY561" s="200"/>
      <c r="AZ561" s="139">
        <f t="shared" si="263"/>
        <v>0</v>
      </c>
      <c r="BA561" s="200"/>
      <c r="BB561" s="203"/>
      <c r="BC561" s="95"/>
      <c r="BD561" s="2"/>
      <c r="BE561" s="2"/>
    </row>
    <row r="562" spans="2:57" ht="43.9" customHeight="1" x14ac:dyDescent="0.25">
      <c r="B562" s="100">
        <f t="shared" si="261"/>
        <v>544</v>
      </c>
      <c r="C562" s="293" t="s">
        <v>3641</v>
      </c>
      <c r="D562" s="265" t="s">
        <v>1559</v>
      </c>
      <c r="E562" s="272">
        <v>44824</v>
      </c>
      <c r="F562" s="268" t="s">
        <v>4262</v>
      </c>
      <c r="G562" s="269" t="s">
        <v>3642</v>
      </c>
      <c r="H562" s="265" t="s">
        <v>3643</v>
      </c>
      <c r="I562" s="265" t="s">
        <v>146</v>
      </c>
      <c r="J562" s="269" t="s">
        <v>3644</v>
      </c>
      <c r="K562" s="342">
        <v>3028654720</v>
      </c>
      <c r="L562" s="270"/>
      <c r="M562" s="294"/>
      <c r="N562" s="302" t="str">
        <f t="shared" si="281"/>
        <v/>
      </c>
      <c r="O562" s="265" t="s">
        <v>3645</v>
      </c>
      <c r="P562" s="271"/>
      <c r="Q562" s="265"/>
      <c r="R562" s="265"/>
      <c r="S562" s="265"/>
      <c r="T562" s="280" t="str">
        <f>(IF(N562="IPU","INVITACION PUBLICA",(IF(N562="IP-","INVITACION PRIVADA"," "))))</f>
        <v xml:space="preserve"> </v>
      </c>
      <c r="U562" s="269" t="s">
        <v>1326</v>
      </c>
      <c r="V562" s="265"/>
      <c r="W562" s="303" t="e">
        <f t="shared" si="277"/>
        <v>#VALUE!</v>
      </c>
      <c r="X562" s="303" t="e">
        <f t="shared" si="278"/>
        <v>#VALUE!</v>
      </c>
      <c r="Y562" s="265" t="s">
        <v>1300</v>
      </c>
      <c r="Z562" s="265" t="s">
        <v>214</v>
      </c>
      <c r="AA562" s="265" t="s">
        <v>215</v>
      </c>
      <c r="AB562" s="265"/>
      <c r="AC562" s="304" t="s">
        <v>3926</v>
      </c>
      <c r="AD562" s="272">
        <v>44824</v>
      </c>
      <c r="AE562" s="265"/>
      <c r="AF562" s="305" t="str">
        <f t="shared" si="282"/>
        <v>sep</v>
      </c>
      <c r="AG562" s="306">
        <f t="shared" si="279"/>
        <v>0</v>
      </c>
      <c r="AH562" s="307">
        <f t="shared" si="280"/>
        <v>44824</v>
      </c>
      <c r="AI562" s="265"/>
      <c r="AJ562" s="265" t="s">
        <v>155</v>
      </c>
      <c r="AK562" s="265"/>
      <c r="AL562" s="265"/>
      <c r="AM562" s="309"/>
      <c r="AN562" s="269"/>
      <c r="AO562" s="265"/>
      <c r="AP562" s="309"/>
      <c r="AQ562" s="289"/>
      <c r="AR562" s="269"/>
      <c r="AS562" s="265"/>
      <c r="AT562" s="260"/>
      <c r="AU562" s="260"/>
      <c r="AV562" s="200"/>
      <c r="AW562" s="200"/>
      <c r="AX562" s="200"/>
      <c r="AY562" s="200"/>
      <c r="AZ562" s="139">
        <f t="shared" si="263"/>
        <v>0</v>
      </c>
      <c r="BA562" s="200"/>
      <c r="BB562" s="203"/>
      <c r="BC562" s="95"/>
      <c r="BD562" s="2"/>
      <c r="BE562" s="2"/>
    </row>
    <row r="563" spans="2:57" ht="43.9" customHeight="1" x14ac:dyDescent="0.25">
      <c r="B563" s="100">
        <f t="shared" si="261"/>
        <v>545</v>
      </c>
      <c r="C563" s="293" t="s">
        <v>200</v>
      </c>
      <c r="D563" s="265" t="s">
        <v>359</v>
      </c>
      <c r="E563" s="272">
        <v>44825</v>
      </c>
      <c r="F563" s="268" t="s">
        <v>4262</v>
      </c>
      <c r="G563" s="269" t="s">
        <v>3646</v>
      </c>
      <c r="H563" s="265" t="s">
        <v>3647</v>
      </c>
      <c r="I563" s="265" t="s">
        <v>146</v>
      </c>
      <c r="J563" s="269" t="s">
        <v>3648</v>
      </c>
      <c r="K563" s="342">
        <v>44292962</v>
      </c>
      <c r="L563" s="270"/>
      <c r="M563" s="294"/>
      <c r="N563" s="302" t="str">
        <f t="shared" si="281"/>
        <v/>
      </c>
      <c r="O563" s="265">
        <v>202205661</v>
      </c>
      <c r="P563" s="271"/>
      <c r="Q563" s="265"/>
      <c r="R563" s="265"/>
      <c r="S563" s="265"/>
      <c r="T563" s="280" t="str">
        <f>(IF(N563="IPU","INVITACION PUBLICA",(IF(N563="IP-","INVITACION PRIVADA"," "))))</f>
        <v xml:space="preserve"> </v>
      </c>
      <c r="U563" s="269" t="s">
        <v>1326</v>
      </c>
      <c r="V563" s="265"/>
      <c r="W563" s="303" t="e">
        <f t="shared" si="277"/>
        <v>#VALUE!</v>
      </c>
      <c r="X563" s="303" t="e">
        <f t="shared" si="278"/>
        <v>#VALUE!</v>
      </c>
      <c r="Y563" s="265" t="s">
        <v>1300</v>
      </c>
      <c r="Z563" s="265" t="s">
        <v>214</v>
      </c>
      <c r="AA563" s="265" t="s">
        <v>215</v>
      </c>
      <c r="AB563" s="265"/>
      <c r="AC563" s="304" t="s">
        <v>3926</v>
      </c>
      <c r="AD563" s="272">
        <v>44824</v>
      </c>
      <c r="AE563" s="265"/>
      <c r="AF563" s="305" t="str">
        <f t="shared" si="282"/>
        <v>sep</v>
      </c>
      <c r="AG563" s="306">
        <f t="shared" si="279"/>
        <v>-1</v>
      </c>
      <c r="AH563" s="307">
        <f t="shared" si="280"/>
        <v>44824</v>
      </c>
      <c r="AI563" s="265"/>
      <c r="AJ563" s="320" t="s">
        <v>255</v>
      </c>
      <c r="AK563" s="265"/>
      <c r="AL563" s="265"/>
      <c r="AM563" s="309"/>
      <c r="AN563" s="269"/>
      <c r="AO563" s="265"/>
      <c r="AP563" s="309"/>
      <c r="AQ563" s="289"/>
      <c r="AR563" s="269"/>
      <c r="AS563" s="265"/>
      <c r="AT563" s="260"/>
      <c r="AU563" s="260"/>
      <c r="AV563" s="200"/>
      <c r="AW563" s="200"/>
      <c r="AX563" s="200"/>
      <c r="AY563" s="200"/>
      <c r="AZ563" s="139">
        <f t="shared" si="263"/>
        <v>0</v>
      </c>
      <c r="BA563" s="200"/>
      <c r="BB563" s="203"/>
      <c r="BC563" s="95"/>
      <c r="BD563" s="2"/>
      <c r="BE563" s="2"/>
    </row>
    <row r="564" spans="2:57" ht="43.9" customHeight="1" x14ac:dyDescent="0.25">
      <c r="B564" s="100">
        <f t="shared" si="261"/>
        <v>546</v>
      </c>
      <c r="C564" s="293" t="s">
        <v>3649</v>
      </c>
      <c r="D564" s="312" t="s">
        <v>32</v>
      </c>
      <c r="E564" s="272">
        <v>44827</v>
      </c>
      <c r="F564" s="268" t="s">
        <v>4262</v>
      </c>
      <c r="G564" s="269" t="s">
        <v>3650</v>
      </c>
      <c r="H564" s="265" t="s">
        <v>3651</v>
      </c>
      <c r="I564" s="265" t="s">
        <v>146</v>
      </c>
      <c r="J564" s="269" t="s">
        <v>3652</v>
      </c>
      <c r="K564" s="342">
        <v>160000000</v>
      </c>
      <c r="L564" s="270"/>
      <c r="M564" s="294"/>
      <c r="N564" s="302" t="str">
        <f t="shared" si="281"/>
        <v/>
      </c>
      <c r="O564" s="265">
        <v>202204462</v>
      </c>
      <c r="P564" s="271"/>
      <c r="Q564" s="265"/>
      <c r="R564" s="265"/>
      <c r="S564" s="265"/>
      <c r="T564" s="280" t="str">
        <f>(IF(N564="IPU","INVITACION PUBLICA",(IF(N564="IP-","INVITACION PRIVADA"," "))))</f>
        <v xml:space="preserve"> </v>
      </c>
      <c r="U564" s="269" t="s">
        <v>1326</v>
      </c>
      <c r="V564" s="265"/>
      <c r="W564" s="303" t="e">
        <f t="shared" si="277"/>
        <v>#VALUE!</v>
      </c>
      <c r="X564" s="303" t="e">
        <f t="shared" si="278"/>
        <v>#VALUE!</v>
      </c>
      <c r="Y564" s="265" t="s">
        <v>1300</v>
      </c>
      <c r="Z564" s="265" t="s">
        <v>214</v>
      </c>
      <c r="AA564" s="265" t="s">
        <v>215</v>
      </c>
      <c r="AB564" s="265"/>
      <c r="AC564" s="304" t="s">
        <v>3926</v>
      </c>
      <c r="AD564" s="272">
        <v>44824</v>
      </c>
      <c r="AE564" s="265"/>
      <c r="AF564" s="305" t="str">
        <f t="shared" si="282"/>
        <v>sep</v>
      </c>
      <c r="AG564" s="306">
        <f t="shared" si="279"/>
        <v>-3</v>
      </c>
      <c r="AH564" s="307">
        <f t="shared" si="280"/>
        <v>44824</v>
      </c>
      <c r="AI564" s="265"/>
      <c r="AJ564" s="265" t="s">
        <v>171</v>
      </c>
      <c r="AK564" s="265"/>
      <c r="AL564" s="265"/>
      <c r="AM564" s="309"/>
      <c r="AN564" s="269"/>
      <c r="AO564" s="265"/>
      <c r="AP564" s="309"/>
      <c r="AQ564" s="289"/>
      <c r="AR564" s="269"/>
      <c r="AS564" s="265"/>
      <c r="AT564" s="260"/>
      <c r="AU564" s="260"/>
      <c r="AV564" s="200"/>
      <c r="AW564" s="200"/>
      <c r="AX564" s="200"/>
      <c r="AY564" s="200"/>
      <c r="AZ564" s="139">
        <f t="shared" si="263"/>
        <v>1</v>
      </c>
      <c r="BA564" s="200"/>
      <c r="BB564" s="203"/>
      <c r="BC564" s="95"/>
      <c r="BD564" s="2"/>
      <c r="BE564" s="2"/>
    </row>
    <row r="565" spans="2:57" ht="43.9" customHeight="1" x14ac:dyDescent="0.25">
      <c r="B565" s="100">
        <f t="shared" si="261"/>
        <v>547</v>
      </c>
      <c r="C565" s="293" t="s">
        <v>3653</v>
      </c>
      <c r="D565" s="265" t="s">
        <v>1559</v>
      </c>
      <c r="E565" s="272">
        <v>44828</v>
      </c>
      <c r="F565" s="268" t="s">
        <v>4262</v>
      </c>
      <c r="G565" s="269" t="s">
        <v>4038</v>
      </c>
      <c r="H565" s="265" t="s">
        <v>2127</v>
      </c>
      <c r="I565" s="265" t="s">
        <v>146</v>
      </c>
      <c r="J565" s="269" t="s">
        <v>2128</v>
      </c>
      <c r="K565" s="342">
        <v>346526416</v>
      </c>
      <c r="L565" s="288"/>
      <c r="M565" s="294" t="s">
        <v>4039</v>
      </c>
      <c r="N565" s="302" t="str">
        <f t="shared" si="281"/>
        <v>IP-</v>
      </c>
      <c r="O565" s="265" t="s">
        <v>3654</v>
      </c>
      <c r="P565" s="271"/>
      <c r="Q565" s="265"/>
      <c r="R565" s="265"/>
      <c r="S565" s="265"/>
      <c r="T565" s="111" t="s">
        <v>43</v>
      </c>
      <c r="U565" s="269" t="s">
        <v>1326</v>
      </c>
      <c r="V565" s="265"/>
      <c r="W565" s="303" t="e">
        <f t="shared" si="277"/>
        <v>#VALUE!</v>
      </c>
      <c r="X565" s="303" t="e">
        <f t="shared" si="278"/>
        <v>#VALUE!</v>
      </c>
      <c r="Y565" s="265" t="s">
        <v>1300</v>
      </c>
      <c r="Z565" s="265" t="s">
        <v>214</v>
      </c>
      <c r="AA565" s="265" t="s">
        <v>215</v>
      </c>
      <c r="AB565" s="265"/>
      <c r="AC565" s="304" t="s">
        <v>3926</v>
      </c>
      <c r="AD565" s="272">
        <v>44824</v>
      </c>
      <c r="AE565" s="265"/>
      <c r="AF565" s="305" t="str">
        <f t="shared" si="282"/>
        <v>sep</v>
      </c>
      <c r="AG565" s="306">
        <f t="shared" si="279"/>
        <v>-4</v>
      </c>
      <c r="AH565" s="307">
        <f t="shared" si="280"/>
        <v>44824</v>
      </c>
      <c r="AI565" s="265"/>
      <c r="AJ565" s="265" t="s">
        <v>171</v>
      </c>
      <c r="AK565" s="265"/>
      <c r="AL565" s="265"/>
      <c r="AM565" s="309"/>
      <c r="AN565" s="269"/>
      <c r="AO565" s="265"/>
      <c r="AP565" s="309"/>
      <c r="AQ565" s="289"/>
      <c r="AR565" s="269"/>
      <c r="AS565" s="265"/>
      <c r="AT565" s="260"/>
      <c r="AU565" s="260"/>
      <c r="AV565" s="200"/>
      <c r="AW565" s="200"/>
      <c r="AX565" s="200"/>
      <c r="AY565" s="200"/>
      <c r="AZ565" s="139">
        <f t="shared" si="263"/>
        <v>0</v>
      </c>
      <c r="BA565" s="200"/>
      <c r="BB565" s="203"/>
      <c r="BC565" s="95"/>
      <c r="BD565" s="2"/>
      <c r="BE565" s="2"/>
    </row>
    <row r="566" spans="2:57" ht="43.9" customHeight="1" x14ac:dyDescent="0.25">
      <c r="B566" s="100">
        <f t="shared" si="261"/>
        <v>548</v>
      </c>
      <c r="C566" s="293" t="s">
        <v>3655</v>
      </c>
      <c r="D566" s="265" t="s">
        <v>1559</v>
      </c>
      <c r="E566" s="272">
        <v>44829</v>
      </c>
      <c r="F566" s="268" t="s">
        <v>4262</v>
      </c>
      <c r="G566" s="269" t="s">
        <v>3656</v>
      </c>
      <c r="H566" s="265" t="s">
        <v>3657</v>
      </c>
      <c r="I566" s="265" t="s">
        <v>146</v>
      </c>
      <c r="J566" s="269" t="s">
        <v>3658</v>
      </c>
      <c r="K566" s="342">
        <v>146064884</v>
      </c>
      <c r="L566" s="288"/>
      <c r="M566" s="294"/>
      <c r="N566" s="302" t="str">
        <f t="shared" si="281"/>
        <v/>
      </c>
      <c r="O566" s="265">
        <v>202202989</v>
      </c>
      <c r="P566" s="271"/>
      <c r="Q566" s="265"/>
      <c r="R566" s="265"/>
      <c r="S566" s="265"/>
      <c r="T566" s="280" t="str">
        <f>(IF(N566="IPU","INVITACION PUBLICA",(IF(N566="IP-","INVITACION PRIVADA"," "))))</f>
        <v xml:space="preserve"> </v>
      </c>
      <c r="U566" s="269" t="s">
        <v>1326</v>
      </c>
      <c r="V566" s="265"/>
      <c r="W566" s="303" t="e">
        <f t="shared" si="277"/>
        <v>#VALUE!</v>
      </c>
      <c r="X566" s="303" t="e">
        <f t="shared" si="278"/>
        <v>#VALUE!</v>
      </c>
      <c r="Y566" s="265" t="s">
        <v>1300</v>
      </c>
      <c r="Z566" s="265" t="s">
        <v>214</v>
      </c>
      <c r="AA566" s="265" t="s">
        <v>215</v>
      </c>
      <c r="AB566" s="265"/>
      <c r="AC566" s="304" t="s">
        <v>3926</v>
      </c>
      <c r="AD566" s="272">
        <v>44824</v>
      </c>
      <c r="AE566" s="265"/>
      <c r="AF566" s="305" t="str">
        <f t="shared" si="282"/>
        <v>sep</v>
      </c>
      <c r="AG566" s="306">
        <f t="shared" si="279"/>
        <v>-5</v>
      </c>
      <c r="AH566" s="307">
        <f t="shared" si="280"/>
        <v>44824</v>
      </c>
      <c r="AI566" s="265"/>
      <c r="AJ566" s="265" t="s">
        <v>171</v>
      </c>
      <c r="AK566" s="265"/>
      <c r="AL566" s="265"/>
      <c r="AM566" s="309"/>
      <c r="AN566" s="269"/>
      <c r="AO566" s="265"/>
      <c r="AP566" s="309"/>
      <c r="AQ566" s="289"/>
      <c r="AR566" s="269"/>
      <c r="AS566" s="265"/>
      <c r="AT566" s="260"/>
      <c r="AU566" s="260"/>
      <c r="AV566" s="200"/>
      <c r="AW566" s="200"/>
      <c r="AX566" s="200"/>
      <c r="AY566" s="200"/>
      <c r="AZ566" s="139">
        <f t="shared" si="263"/>
        <v>0</v>
      </c>
      <c r="BA566" s="200"/>
      <c r="BB566" s="203"/>
      <c r="BC566" s="95"/>
      <c r="BD566" s="2"/>
      <c r="BE566" s="2"/>
    </row>
    <row r="567" spans="2:57" ht="43.9" customHeight="1" x14ac:dyDescent="0.25">
      <c r="B567" s="100">
        <f t="shared" si="261"/>
        <v>549</v>
      </c>
      <c r="C567" s="293" t="s">
        <v>3659</v>
      </c>
      <c r="D567" s="265" t="s">
        <v>359</v>
      </c>
      <c r="E567" s="313">
        <v>44830</v>
      </c>
      <c r="F567" s="268" t="s">
        <v>4262</v>
      </c>
      <c r="G567" s="269" t="s">
        <v>3660</v>
      </c>
      <c r="H567" s="265" t="s">
        <v>3661</v>
      </c>
      <c r="I567" s="265" t="s">
        <v>146</v>
      </c>
      <c r="J567" s="269" t="s">
        <v>3662</v>
      </c>
      <c r="K567" s="342">
        <v>3639020</v>
      </c>
      <c r="L567" s="270"/>
      <c r="M567" s="294" t="s">
        <v>4097</v>
      </c>
      <c r="N567" s="302" t="s">
        <v>4263</v>
      </c>
      <c r="O567" s="265">
        <v>202205909</v>
      </c>
      <c r="P567" s="271"/>
      <c r="Q567" s="265"/>
      <c r="R567" s="265"/>
      <c r="S567" s="265"/>
      <c r="T567" s="111" t="s">
        <v>43</v>
      </c>
      <c r="U567" s="269" t="s">
        <v>921</v>
      </c>
      <c r="V567" s="272">
        <v>44873</v>
      </c>
      <c r="W567" s="303">
        <v>119</v>
      </c>
      <c r="X567" s="303">
        <v>76</v>
      </c>
      <c r="Y567" s="265"/>
      <c r="Z567" s="265" t="s">
        <v>168</v>
      </c>
      <c r="AA567" s="265" t="s">
        <v>169</v>
      </c>
      <c r="AB567" s="272">
        <v>44918</v>
      </c>
      <c r="AC567" s="304" t="s">
        <v>4098</v>
      </c>
      <c r="AD567" s="272">
        <v>44918</v>
      </c>
      <c r="AE567" s="272" t="s">
        <v>4264</v>
      </c>
      <c r="AF567" s="305" t="s">
        <v>4264</v>
      </c>
      <c r="AG567" s="306">
        <v>88</v>
      </c>
      <c r="AH567" s="307">
        <v>45</v>
      </c>
      <c r="AI567" s="265" t="s">
        <v>258</v>
      </c>
      <c r="AJ567" s="265" t="s">
        <v>155</v>
      </c>
      <c r="AK567" s="265" t="s">
        <v>4265</v>
      </c>
      <c r="AL567" s="272">
        <v>44911</v>
      </c>
      <c r="AM567" s="309">
        <v>3639020</v>
      </c>
      <c r="AN567" s="269" t="s">
        <v>4266</v>
      </c>
      <c r="AO567" s="265" t="s">
        <v>4267</v>
      </c>
      <c r="AP567" s="181">
        <f t="shared" ref="AP567:AP568" si="283">+K567-AM567</f>
        <v>0</v>
      </c>
      <c r="AQ567" s="289"/>
      <c r="AR567" s="269"/>
      <c r="AS567" s="265"/>
      <c r="AT567" s="194"/>
      <c r="AU567" s="200"/>
      <c r="AV567" s="193"/>
      <c r="AW567" s="167"/>
      <c r="AX567" s="139"/>
      <c r="AY567" s="167">
        <f t="shared" ref="AY567:AY568" si="284">+AP567/K567</f>
        <v>0</v>
      </c>
      <c r="AZ567" s="139">
        <f t="shared" si="263"/>
        <v>0</v>
      </c>
      <c r="BA567" s="139">
        <f t="shared" ref="BA567:BA568" si="285">IF(T567="Invitación Privada",1,IF(T567="Invitación Pública",2,0))</f>
        <v>1</v>
      </c>
      <c r="BB567" s="132">
        <f>IF(AA567="CONTRATADO",IF(BA567=1,NETWORKDAYS.INTL(E567,AD567,1,[1]FESTIVOS!$B$3:$B$10)-1,AD567-E567))-BD567</f>
        <v>37</v>
      </c>
      <c r="BC567" s="95"/>
      <c r="BD567" s="3">
        <v>27</v>
      </c>
      <c r="BE567" s="95" t="s">
        <v>4229</v>
      </c>
    </row>
    <row r="568" spans="2:57" ht="43.9" customHeight="1" x14ac:dyDescent="0.25">
      <c r="B568" s="100">
        <f t="shared" si="261"/>
        <v>550</v>
      </c>
      <c r="C568" s="293" t="s">
        <v>3663</v>
      </c>
      <c r="D568" s="265" t="s">
        <v>28</v>
      </c>
      <c r="E568" s="313">
        <v>44831</v>
      </c>
      <c r="F568" s="268" t="s">
        <v>4262</v>
      </c>
      <c r="G568" s="269" t="s">
        <v>3664</v>
      </c>
      <c r="H568" s="265" t="s">
        <v>3665</v>
      </c>
      <c r="I568" s="265" t="s">
        <v>1224</v>
      </c>
      <c r="J568" s="269" t="s">
        <v>3666</v>
      </c>
      <c r="K568" s="342">
        <v>289287619</v>
      </c>
      <c r="L568" s="270"/>
      <c r="M568" s="265" t="s">
        <v>146</v>
      </c>
      <c r="N568" s="302" t="s">
        <v>4268</v>
      </c>
      <c r="O568" s="265" t="s">
        <v>3667</v>
      </c>
      <c r="P568" s="271"/>
      <c r="Q568" s="265"/>
      <c r="R568" s="265"/>
      <c r="S568" s="265"/>
      <c r="T568" s="96" t="s">
        <v>230</v>
      </c>
      <c r="U568" s="269" t="s">
        <v>29</v>
      </c>
      <c r="V568" s="265"/>
      <c r="W568" s="303">
        <v>118</v>
      </c>
      <c r="X568" s="303">
        <v>44949</v>
      </c>
      <c r="Y568" s="265"/>
      <c r="Z568" s="265" t="s">
        <v>168</v>
      </c>
      <c r="AA568" s="265" t="s">
        <v>169</v>
      </c>
      <c r="AB568" s="272">
        <v>44895</v>
      </c>
      <c r="AC568" s="304" t="s">
        <v>4099</v>
      </c>
      <c r="AD568" s="272">
        <v>44924</v>
      </c>
      <c r="AE568" s="272" t="s">
        <v>4264</v>
      </c>
      <c r="AF568" s="305" t="s">
        <v>4264</v>
      </c>
      <c r="AG568" s="306">
        <v>93</v>
      </c>
      <c r="AH568" s="307">
        <v>44924</v>
      </c>
      <c r="AI568" s="265" t="s">
        <v>146</v>
      </c>
      <c r="AJ568" s="265" t="s">
        <v>155</v>
      </c>
      <c r="AK568" s="265" t="s">
        <v>4269</v>
      </c>
      <c r="AL568" s="272">
        <v>44911</v>
      </c>
      <c r="AM568" s="309">
        <v>289077539</v>
      </c>
      <c r="AN568" s="269" t="s">
        <v>4270</v>
      </c>
      <c r="AO568" s="265"/>
      <c r="AP568" s="181">
        <f t="shared" si="283"/>
        <v>210080</v>
      </c>
      <c r="AQ568" s="289"/>
      <c r="AR568" s="269"/>
      <c r="AS568" s="265"/>
      <c r="AT568" s="194"/>
      <c r="AU568" s="200"/>
      <c r="AV568" s="193"/>
      <c r="AW568" s="167"/>
      <c r="AX568" s="139"/>
      <c r="AY568" s="167">
        <f t="shared" si="284"/>
        <v>7.2619768770678013E-4</v>
      </c>
      <c r="AZ568" s="139">
        <f t="shared" si="263"/>
        <v>1</v>
      </c>
      <c r="BA568" s="139">
        <f t="shared" si="285"/>
        <v>0</v>
      </c>
      <c r="BB568" s="132">
        <f>IF(AA568="CONTRATADO",IF(BA568=1,NETWORKDAYS.INTL(E568,AD568,1,[1]FESTIVOS!$B$3:$B$10)-1,AD568-E568))-BD568</f>
        <v>93</v>
      </c>
      <c r="BC568" s="95"/>
      <c r="BD568" s="2"/>
      <c r="BE568" s="2"/>
    </row>
    <row r="569" spans="2:57" ht="43.9" customHeight="1" x14ac:dyDescent="0.25">
      <c r="B569" s="100">
        <f t="shared" si="261"/>
        <v>551</v>
      </c>
      <c r="C569" s="293" t="s">
        <v>3939</v>
      </c>
      <c r="D569" s="265" t="s">
        <v>28</v>
      </c>
      <c r="E569" s="272">
        <v>44848</v>
      </c>
      <c r="F569" s="268" t="s">
        <v>4271</v>
      </c>
      <c r="G569" s="269" t="s">
        <v>641</v>
      </c>
      <c r="H569" s="265" t="s">
        <v>4040</v>
      </c>
      <c r="I569" s="265" t="s">
        <v>636</v>
      </c>
      <c r="J569" s="269" t="s">
        <v>3940</v>
      </c>
      <c r="K569" s="342">
        <v>363534885</v>
      </c>
      <c r="L569" s="270"/>
      <c r="M569" s="265" t="s">
        <v>146</v>
      </c>
      <c r="N569" s="302" t="str">
        <f>MID(M569,5,3)</f>
        <v/>
      </c>
      <c r="O569" s="265">
        <v>202202688</v>
      </c>
      <c r="P569" s="271"/>
      <c r="Q569" s="265"/>
      <c r="R569" s="265"/>
      <c r="S569" s="265"/>
      <c r="T569" s="280" t="str">
        <f>(IF(N569="IPU","INVITACION PUBLICA",(IF(N569="IP-","INVITACION PRIVADA"," "))))</f>
        <v xml:space="preserve"> </v>
      </c>
      <c r="U569" s="269" t="s">
        <v>29</v>
      </c>
      <c r="V569" s="272">
        <v>44852</v>
      </c>
      <c r="W569" s="303" t="e">
        <f>+$D$4-E569</f>
        <v>#VALUE!</v>
      </c>
      <c r="X569" s="303" t="e">
        <f>$D$4-V569</f>
        <v>#VALUE!</v>
      </c>
      <c r="Y569" s="265" t="s">
        <v>1300</v>
      </c>
      <c r="Z569" s="265" t="s">
        <v>214</v>
      </c>
      <c r="AA569" s="265" t="s">
        <v>215</v>
      </c>
      <c r="AB569" s="272">
        <v>44882</v>
      </c>
      <c r="AC569" s="318" t="s">
        <v>4041</v>
      </c>
      <c r="AD569" s="272">
        <v>44882</v>
      </c>
      <c r="AE569" s="265"/>
      <c r="AF569" s="265" t="str">
        <f>+IF(AD569="","",TEXT(AD569,"mmm"))</f>
        <v>nov</v>
      </c>
      <c r="AG569" s="306">
        <f>+AD569-E569</f>
        <v>34</v>
      </c>
      <c r="AH569" s="307">
        <f>+AD569-V569</f>
        <v>30</v>
      </c>
      <c r="AI569" s="265"/>
      <c r="AJ569" s="320" t="s">
        <v>255</v>
      </c>
      <c r="AK569" s="265"/>
      <c r="AL569" s="265"/>
      <c r="AM569" s="309"/>
      <c r="AN569" s="269"/>
      <c r="AO569" s="265"/>
      <c r="AP569" s="309"/>
      <c r="AQ569" s="289"/>
      <c r="AR569" s="269"/>
      <c r="AS569" s="265"/>
      <c r="AT569" s="260"/>
      <c r="AU569" s="260"/>
      <c r="AV569" s="200"/>
      <c r="AW569" s="200"/>
      <c r="AX569" s="200"/>
      <c r="AY569" s="200"/>
      <c r="AZ569" s="139">
        <f t="shared" si="263"/>
        <v>1</v>
      </c>
      <c r="BA569" s="200"/>
      <c r="BB569" s="203"/>
      <c r="BC569" s="95"/>
      <c r="BD569" s="2"/>
      <c r="BE569" s="2"/>
    </row>
    <row r="570" spans="2:57" ht="43.9" customHeight="1" x14ac:dyDescent="0.25">
      <c r="B570" s="100">
        <f t="shared" si="261"/>
        <v>552</v>
      </c>
      <c r="C570" s="293" t="s">
        <v>3941</v>
      </c>
      <c r="D570" s="265" t="s">
        <v>359</v>
      </c>
      <c r="E570" s="272">
        <v>44858</v>
      </c>
      <c r="F570" s="268" t="s">
        <v>4271</v>
      </c>
      <c r="G570" s="269" t="s">
        <v>3534</v>
      </c>
      <c r="H570" s="265" t="s">
        <v>3535</v>
      </c>
      <c r="I570" s="265"/>
      <c r="J570" s="269" t="s">
        <v>3942</v>
      </c>
      <c r="K570" s="342">
        <v>483000000</v>
      </c>
      <c r="L570" s="270"/>
      <c r="M570" s="277"/>
      <c r="N570" s="302" t="str">
        <f>MID(M570,5,3)</f>
        <v/>
      </c>
      <c r="O570" s="265">
        <v>202205833</v>
      </c>
      <c r="P570" s="271"/>
      <c r="Q570" s="265"/>
      <c r="R570" s="265"/>
      <c r="S570" s="265"/>
      <c r="T570" s="280" t="str">
        <f>(IF(N570="IPU","INVITACION PUBLICA",(IF(N570="IP-","INVITACION PRIVADA"," "))))</f>
        <v xml:space="preserve"> </v>
      </c>
      <c r="U570" s="269" t="s">
        <v>151</v>
      </c>
      <c r="V570" s="272">
        <v>44859</v>
      </c>
      <c r="W570" s="303" t="e">
        <f>+$D$4-E570</f>
        <v>#VALUE!</v>
      </c>
      <c r="X570" s="303" t="e">
        <f>$D$4-V570</f>
        <v>#VALUE!</v>
      </c>
      <c r="Y570" s="265" t="s">
        <v>1300</v>
      </c>
      <c r="Z570" s="265" t="s">
        <v>214</v>
      </c>
      <c r="AA570" s="265" t="s">
        <v>215</v>
      </c>
      <c r="AB570" s="291">
        <v>44875</v>
      </c>
      <c r="AC570" s="304" t="s">
        <v>4042</v>
      </c>
      <c r="AD570" s="272">
        <v>44866</v>
      </c>
      <c r="AE570" s="265"/>
      <c r="AF570" s="265" t="str">
        <f>+IF(AD570="","",TEXT(AD570,"mmm"))</f>
        <v>nov</v>
      </c>
      <c r="AG570" s="306">
        <f>+AD570-E570</f>
        <v>8</v>
      </c>
      <c r="AH570" s="307">
        <f>+AD570-V570</f>
        <v>7</v>
      </c>
      <c r="AI570" s="265"/>
      <c r="AJ570" s="265" t="s">
        <v>171</v>
      </c>
      <c r="AK570" s="265"/>
      <c r="AL570" s="265"/>
      <c r="AM570" s="309"/>
      <c r="AN570" s="269"/>
      <c r="AO570" s="265"/>
      <c r="AP570" s="309"/>
      <c r="AQ570" s="289"/>
      <c r="AR570" s="269"/>
      <c r="AS570" s="265"/>
      <c r="AT570" s="260"/>
      <c r="AU570" s="260"/>
      <c r="AV570" s="200"/>
      <c r="AW570" s="200"/>
      <c r="AX570" s="200"/>
      <c r="AY570" s="200"/>
      <c r="AZ570" s="139">
        <f t="shared" si="263"/>
        <v>0</v>
      </c>
      <c r="BA570" s="200"/>
      <c r="BB570" s="203"/>
      <c r="BC570" s="95"/>
      <c r="BD570" s="2"/>
      <c r="BE570" s="2"/>
    </row>
    <row r="571" spans="2:57" ht="43.9" customHeight="1" x14ac:dyDescent="0.25">
      <c r="B571" s="100">
        <f t="shared" si="261"/>
        <v>553</v>
      </c>
      <c r="C571" s="293" t="s">
        <v>3943</v>
      </c>
      <c r="D571" s="265" t="s">
        <v>28</v>
      </c>
      <c r="E571" s="272">
        <v>44861</v>
      </c>
      <c r="F571" s="268" t="s">
        <v>4271</v>
      </c>
      <c r="G571" s="269" t="s">
        <v>3944</v>
      </c>
      <c r="H571" s="265" t="s">
        <v>3945</v>
      </c>
      <c r="I571" s="265"/>
      <c r="J571" s="269" t="s">
        <v>3946</v>
      </c>
      <c r="K571" s="342">
        <v>500000000</v>
      </c>
      <c r="L571" s="270"/>
      <c r="M571" s="277" t="s">
        <v>4100</v>
      </c>
      <c r="N571" s="302" t="str">
        <f>MID(M571,5,3)</f>
        <v>IP-</v>
      </c>
      <c r="O571" s="265">
        <v>202205991</v>
      </c>
      <c r="P571" s="271"/>
      <c r="Q571" s="265"/>
      <c r="R571" s="265"/>
      <c r="S571" s="265"/>
      <c r="T571" s="111" t="s">
        <v>43</v>
      </c>
      <c r="U571" s="269" t="s">
        <v>312</v>
      </c>
      <c r="V571" s="272">
        <v>44873</v>
      </c>
      <c r="W571" s="303" t="e">
        <f>+$D$4-E571</f>
        <v>#VALUE!</v>
      </c>
      <c r="X571" s="303" t="e">
        <f>$D$4-V571</f>
        <v>#VALUE!</v>
      </c>
      <c r="Y571" s="265"/>
      <c r="Z571" s="265" t="s">
        <v>152</v>
      </c>
      <c r="AA571" s="265" t="s">
        <v>153</v>
      </c>
      <c r="AB571" s="272">
        <v>44925</v>
      </c>
      <c r="AC571" s="304" t="s">
        <v>4335</v>
      </c>
      <c r="AD571" s="272">
        <v>44924</v>
      </c>
      <c r="AE571" s="265"/>
      <c r="AF571" s="265" t="str">
        <f>+IF(AD571="","",TEXT(AD571,"mmm"))</f>
        <v>dic</v>
      </c>
      <c r="AG571" s="306">
        <f>+AD571-E571</f>
        <v>63</v>
      </c>
      <c r="AH571" s="307">
        <f>+AD571-V571</f>
        <v>51</v>
      </c>
      <c r="AI571" s="265"/>
      <c r="AJ571" s="265" t="s">
        <v>155</v>
      </c>
      <c r="AK571" s="265"/>
      <c r="AL571" s="265"/>
      <c r="AM571" s="265"/>
      <c r="AN571" s="309"/>
      <c r="AO571" s="269"/>
      <c r="AP571" s="265"/>
      <c r="AQ571" s="309"/>
      <c r="AR571" s="289"/>
      <c r="AS571" s="269"/>
      <c r="AT571" s="265"/>
      <c r="AU571" s="260"/>
      <c r="AV571" s="260"/>
      <c r="AW571" s="200"/>
      <c r="AX571" s="200"/>
      <c r="AY571" s="200"/>
      <c r="AZ571" s="139">
        <f t="shared" si="263"/>
        <v>1</v>
      </c>
      <c r="BA571" s="200"/>
      <c r="BB571" s="200"/>
      <c r="BC571" s="3"/>
      <c r="BD571" s="95"/>
      <c r="BE571" s="2"/>
    </row>
    <row r="572" spans="2:57" ht="43.9" customHeight="1" x14ac:dyDescent="0.25">
      <c r="B572" s="100">
        <f t="shared" si="261"/>
        <v>554</v>
      </c>
      <c r="C572" s="293" t="s">
        <v>3947</v>
      </c>
      <c r="D572" s="312" t="s">
        <v>32</v>
      </c>
      <c r="E572" s="272">
        <v>44861</v>
      </c>
      <c r="F572" s="268" t="s">
        <v>4271</v>
      </c>
      <c r="G572" s="287" t="s">
        <v>4364</v>
      </c>
      <c r="H572" s="265" t="s">
        <v>2915</v>
      </c>
      <c r="I572" s="265"/>
      <c r="J572" s="269" t="s">
        <v>2916</v>
      </c>
      <c r="K572" s="342">
        <v>449226785</v>
      </c>
      <c r="L572" s="270"/>
      <c r="M572" s="294" t="s">
        <v>3948</v>
      </c>
      <c r="N572" s="302" t="str">
        <f>MID(M572,5,3)</f>
        <v>IP-</v>
      </c>
      <c r="O572" s="265">
        <v>202205366</v>
      </c>
      <c r="P572" s="323">
        <v>449226785</v>
      </c>
      <c r="Q572" s="265" t="s">
        <v>146</v>
      </c>
      <c r="R572" s="265" t="s">
        <v>146</v>
      </c>
      <c r="S572" s="265" t="s">
        <v>146</v>
      </c>
      <c r="T572" s="111" t="s">
        <v>43</v>
      </c>
      <c r="U572" s="269" t="s">
        <v>452</v>
      </c>
      <c r="V572" s="272">
        <v>44861</v>
      </c>
      <c r="W572" s="303" t="e">
        <f>+$D$4-E572</f>
        <v>#VALUE!</v>
      </c>
      <c r="X572" s="303" t="e">
        <f>$D$4-V572</f>
        <v>#VALUE!</v>
      </c>
      <c r="Y572" s="265"/>
      <c r="Z572" s="265" t="s">
        <v>214</v>
      </c>
      <c r="AA572" s="265" t="s">
        <v>215</v>
      </c>
      <c r="AB572" s="272">
        <v>44909</v>
      </c>
      <c r="AC572" s="304" t="s">
        <v>4101</v>
      </c>
      <c r="AD572" s="272">
        <v>44909</v>
      </c>
      <c r="AE572" s="265"/>
      <c r="AF572" s="265" t="str">
        <f>+IF(AD572="","",TEXT(AD572,"mmm"))</f>
        <v>dic</v>
      </c>
      <c r="AG572" s="306">
        <f>+AD572-E572</f>
        <v>48</v>
      </c>
      <c r="AH572" s="307">
        <f>+AD572-V572</f>
        <v>48</v>
      </c>
      <c r="AI572" s="265"/>
      <c r="AJ572" s="265" t="s">
        <v>155</v>
      </c>
      <c r="AK572" s="265"/>
      <c r="AL572" s="265"/>
      <c r="AM572" s="309"/>
      <c r="AN572" s="269"/>
      <c r="AO572" s="265"/>
      <c r="AP572" s="309"/>
      <c r="AQ572" s="289"/>
      <c r="AR572" s="269"/>
      <c r="AS572" s="265"/>
      <c r="AT572" s="260"/>
      <c r="AU572" s="260"/>
      <c r="AV572" s="200"/>
      <c r="AW572" s="200"/>
      <c r="AX572" s="200"/>
      <c r="AY572" s="200"/>
      <c r="AZ572" s="139">
        <f t="shared" si="263"/>
        <v>1</v>
      </c>
      <c r="BA572" s="200"/>
      <c r="BB572" s="203"/>
      <c r="BC572" s="95"/>
      <c r="BD572" s="2"/>
      <c r="BE572" s="2"/>
    </row>
    <row r="573" spans="2:57" ht="43.9" customHeight="1" x14ac:dyDescent="0.25">
      <c r="B573" s="100">
        <f t="shared" si="261"/>
        <v>555</v>
      </c>
      <c r="C573" s="293" t="s">
        <v>3949</v>
      </c>
      <c r="D573" s="265" t="s">
        <v>332</v>
      </c>
      <c r="E573" s="313">
        <v>44862</v>
      </c>
      <c r="F573" s="268" t="s">
        <v>4271</v>
      </c>
      <c r="G573" s="269" t="s">
        <v>3950</v>
      </c>
      <c r="H573" s="265" t="s">
        <v>3951</v>
      </c>
      <c r="I573" s="265" t="s">
        <v>1854</v>
      </c>
      <c r="J573" s="269" t="s">
        <v>3952</v>
      </c>
      <c r="K573" s="342">
        <v>394958715</v>
      </c>
      <c r="L573" s="270"/>
      <c r="M573" s="265" t="s">
        <v>146</v>
      </c>
      <c r="N573" s="302" t="s">
        <v>4268</v>
      </c>
      <c r="O573" s="265">
        <v>202203918</v>
      </c>
      <c r="P573" s="271"/>
      <c r="Q573" s="265"/>
      <c r="R573" s="265"/>
      <c r="S573" s="265"/>
      <c r="T573" s="265" t="s">
        <v>1856</v>
      </c>
      <c r="U573" s="269" t="s">
        <v>42</v>
      </c>
      <c r="V573" s="272">
        <v>44876</v>
      </c>
      <c r="W573" s="303">
        <v>87</v>
      </c>
      <c r="X573" s="303">
        <v>73</v>
      </c>
      <c r="Y573" s="265"/>
      <c r="Z573" s="265" t="s">
        <v>1878</v>
      </c>
      <c r="AA573" s="265" t="s">
        <v>169</v>
      </c>
      <c r="AB573" s="272">
        <v>44907</v>
      </c>
      <c r="AC573" s="304"/>
      <c r="AD573" s="272">
        <v>44904</v>
      </c>
      <c r="AE573" s="272" t="s">
        <v>4264</v>
      </c>
      <c r="AF573" s="265" t="s">
        <v>4264</v>
      </c>
      <c r="AG573" s="306">
        <v>42</v>
      </c>
      <c r="AH573" s="307">
        <v>28</v>
      </c>
      <c r="AI573" s="265" t="s">
        <v>146</v>
      </c>
      <c r="AJ573" s="265" t="s">
        <v>171</v>
      </c>
      <c r="AK573" s="269" t="s">
        <v>4427</v>
      </c>
      <c r="AL573" s="272">
        <v>44894</v>
      </c>
      <c r="AM573" s="309">
        <v>259960578</v>
      </c>
      <c r="AN573" s="269" t="s">
        <v>4272</v>
      </c>
      <c r="AO573" s="265" t="s">
        <v>4273</v>
      </c>
      <c r="AP573" s="181">
        <f t="shared" ref="AP573" si="286">+K573-AM573</f>
        <v>134998137</v>
      </c>
      <c r="AQ573" s="289"/>
      <c r="AR573" s="269"/>
      <c r="AS573" s="265"/>
      <c r="AT573" s="194"/>
      <c r="AU573" s="200"/>
      <c r="AV573" s="193"/>
      <c r="AW573" s="167"/>
      <c r="AX573" s="139"/>
      <c r="AY573" s="167">
        <f>+AP573/K573</f>
        <v>0.34180316036322933</v>
      </c>
      <c r="AZ573" s="139">
        <f t="shared" si="263"/>
        <v>0</v>
      </c>
      <c r="BA573" s="139">
        <f>IF(T573="Invitación Privada",1,IF(T573="Invitación Pública",2,0))</f>
        <v>0</v>
      </c>
      <c r="BB573" s="132">
        <f>IF(AA573="CONTRATADO",IF(BA573=1,NETWORKDAYS.INTL(E573,AD573,1,[1]FESTIVOS!$B$3:$B$10)-1,AD573-E573))-BD573</f>
        <v>42</v>
      </c>
      <c r="BC573" s="95"/>
      <c r="BD573" s="2"/>
      <c r="BE573" s="2"/>
    </row>
    <row r="574" spans="2:57" ht="43.9" customHeight="1" x14ac:dyDescent="0.25">
      <c r="B574" s="100">
        <f t="shared" si="261"/>
        <v>556</v>
      </c>
      <c r="C574" s="293" t="s">
        <v>3953</v>
      </c>
      <c r="D574" s="312" t="s">
        <v>32</v>
      </c>
      <c r="E574" s="272">
        <v>44865</v>
      </c>
      <c r="F574" s="268" t="s">
        <v>4271</v>
      </c>
      <c r="G574" s="269" t="s">
        <v>3954</v>
      </c>
      <c r="H574" s="265" t="s">
        <v>3955</v>
      </c>
      <c r="I574" s="265"/>
      <c r="J574" s="269" t="s">
        <v>3956</v>
      </c>
      <c r="K574" s="342">
        <v>21556440</v>
      </c>
      <c r="L574" s="270"/>
      <c r="M574" s="277" t="s">
        <v>4102</v>
      </c>
      <c r="N574" s="302" t="str">
        <f>MID(M574,5,3)</f>
        <v>IP-</v>
      </c>
      <c r="O574" s="265">
        <v>202205431</v>
      </c>
      <c r="P574" s="271"/>
      <c r="Q574" s="265"/>
      <c r="R574" s="265"/>
      <c r="S574" s="265"/>
      <c r="T574" s="111" t="s">
        <v>43</v>
      </c>
      <c r="U574" s="269" t="s">
        <v>452</v>
      </c>
      <c r="V574" s="272">
        <v>44867</v>
      </c>
      <c r="W574" s="303" t="e">
        <f>+$D$4-E574</f>
        <v>#VALUE!</v>
      </c>
      <c r="X574" s="303" t="e">
        <f>$D$4-V574</f>
        <v>#VALUE!</v>
      </c>
      <c r="Y574" s="265"/>
      <c r="Z574" s="265" t="s">
        <v>152</v>
      </c>
      <c r="AA574" s="265" t="s">
        <v>153</v>
      </c>
      <c r="AB574" s="272">
        <v>44925</v>
      </c>
      <c r="AC574" s="304" t="s">
        <v>4101</v>
      </c>
      <c r="AD574" s="272">
        <v>44925</v>
      </c>
      <c r="AE574" s="265"/>
      <c r="AF574" s="265" t="str">
        <f>+IF(AD574="","",TEXT(AD574,"mmm"))</f>
        <v>dic</v>
      </c>
      <c r="AG574" s="306">
        <f>+AD574-E574</f>
        <v>60</v>
      </c>
      <c r="AH574" s="307">
        <f>+AD574-V574</f>
        <v>58</v>
      </c>
      <c r="AI574" s="265"/>
      <c r="AJ574" s="265" t="s">
        <v>171</v>
      </c>
      <c r="AK574" s="265"/>
      <c r="AL574" s="265"/>
      <c r="AM574" s="265"/>
      <c r="AN574" s="309"/>
      <c r="AO574" s="269"/>
      <c r="AP574" s="265"/>
      <c r="AQ574" s="309"/>
      <c r="AR574" s="289"/>
      <c r="AS574" s="269"/>
      <c r="AT574" s="265"/>
      <c r="AU574" s="260"/>
      <c r="AV574" s="260"/>
      <c r="AW574" s="200"/>
      <c r="AX574" s="200"/>
      <c r="AY574" s="200"/>
      <c r="AZ574" s="139">
        <f t="shared" si="263"/>
        <v>1</v>
      </c>
      <c r="BA574" s="200"/>
      <c r="BB574" s="200"/>
      <c r="BC574" s="3"/>
      <c r="BD574" s="95"/>
      <c r="BE574" s="2"/>
    </row>
    <row r="575" spans="2:57" ht="43.9" customHeight="1" x14ac:dyDescent="0.25">
      <c r="B575" s="100">
        <f t="shared" si="261"/>
        <v>557</v>
      </c>
      <c r="C575" s="293" t="s">
        <v>4103</v>
      </c>
      <c r="D575" s="265" t="s">
        <v>359</v>
      </c>
      <c r="E575" s="313">
        <v>44866</v>
      </c>
      <c r="F575" s="268" t="s">
        <v>4274</v>
      </c>
      <c r="G575" s="269" t="s">
        <v>4104</v>
      </c>
      <c r="H575" s="265" t="s">
        <v>4105</v>
      </c>
      <c r="I575" s="265"/>
      <c r="J575" s="269" t="s">
        <v>4106</v>
      </c>
      <c r="K575" s="342">
        <v>467565009</v>
      </c>
      <c r="L575" s="270"/>
      <c r="M575" s="277" t="s">
        <v>4107</v>
      </c>
      <c r="N575" s="302" t="s">
        <v>4263</v>
      </c>
      <c r="O575" s="265">
        <v>202205833</v>
      </c>
      <c r="P575" s="271"/>
      <c r="Q575" s="265"/>
      <c r="R575" s="265"/>
      <c r="S575" s="265"/>
      <c r="T575" s="111" t="s">
        <v>43</v>
      </c>
      <c r="U575" s="269" t="s">
        <v>151</v>
      </c>
      <c r="V575" s="272">
        <v>44867</v>
      </c>
      <c r="W575" s="303">
        <v>83</v>
      </c>
      <c r="X575" s="303">
        <v>82</v>
      </c>
      <c r="Y575" s="265"/>
      <c r="Z575" s="265" t="s">
        <v>168</v>
      </c>
      <c r="AA575" s="265" t="s">
        <v>169</v>
      </c>
      <c r="AB575" s="291">
        <v>44901</v>
      </c>
      <c r="AC575" s="304"/>
      <c r="AD575" s="272">
        <v>44901</v>
      </c>
      <c r="AE575" s="272" t="s">
        <v>4264</v>
      </c>
      <c r="AF575" s="265" t="s">
        <v>4264</v>
      </c>
      <c r="AG575" s="306">
        <v>35</v>
      </c>
      <c r="AH575" s="307">
        <v>34</v>
      </c>
      <c r="AI575" s="265" t="s">
        <v>258</v>
      </c>
      <c r="AJ575" s="265" t="s">
        <v>171</v>
      </c>
      <c r="AK575" s="265" t="s">
        <v>4275</v>
      </c>
      <c r="AL575" s="272">
        <v>44896</v>
      </c>
      <c r="AM575" s="309">
        <v>466562289</v>
      </c>
      <c r="AN575" s="269" t="s">
        <v>4276</v>
      </c>
      <c r="AO575" s="265" t="s">
        <v>4277</v>
      </c>
      <c r="AP575" s="181">
        <f t="shared" ref="AP575:AP576" si="287">+K575-AM575</f>
        <v>1002720</v>
      </c>
      <c r="AQ575" s="289"/>
      <c r="AR575" s="269"/>
      <c r="AS575" s="265"/>
      <c r="AT575" s="194"/>
      <c r="AU575" s="200"/>
      <c r="AV575" s="193"/>
      <c r="AW575" s="167"/>
      <c r="AX575" s="139"/>
      <c r="AY575" s="167">
        <f t="shared" ref="AY575:AY576" si="288">+AP575/K575</f>
        <v>2.144557399931525E-3</v>
      </c>
      <c r="AZ575" s="139">
        <f t="shared" si="263"/>
        <v>0</v>
      </c>
      <c r="BA575" s="139">
        <f t="shared" ref="BA575:BA576" si="289">IF(T575="Invitación Privada",1,IF(T575="Invitación Pública",2,0))</f>
        <v>1</v>
      </c>
      <c r="BB575" s="132">
        <f>IF(AA575="CONTRATADO",IF(BA575=1,NETWORKDAYS.INTL(E575,AD575,1,[1]FESTIVOS!$B$3:$B$10)-1,AD575-E575))-BD575</f>
        <v>25</v>
      </c>
      <c r="BC575" s="95"/>
      <c r="BD575" s="2"/>
      <c r="BE575" s="2"/>
    </row>
    <row r="576" spans="2:57" ht="43.9" customHeight="1" x14ac:dyDescent="0.25">
      <c r="B576" s="100">
        <f t="shared" si="261"/>
        <v>558</v>
      </c>
      <c r="C576" s="293" t="s">
        <v>4108</v>
      </c>
      <c r="D576" s="265" t="s">
        <v>359</v>
      </c>
      <c r="E576" s="313">
        <v>44866</v>
      </c>
      <c r="F576" s="268" t="s">
        <v>4274</v>
      </c>
      <c r="G576" s="269" t="s">
        <v>3646</v>
      </c>
      <c r="H576" s="265" t="s">
        <v>3647</v>
      </c>
      <c r="I576" s="265"/>
      <c r="J576" s="269" t="s">
        <v>4109</v>
      </c>
      <c r="K576" s="342">
        <v>58893695</v>
      </c>
      <c r="L576" s="270"/>
      <c r="M576" s="277" t="s">
        <v>4110</v>
      </c>
      <c r="N576" s="302" t="s">
        <v>4263</v>
      </c>
      <c r="O576" s="265"/>
      <c r="P576" s="271"/>
      <c r="Q576" s="265"/>
      <c r="R576" s="265"/>
      <c r="S576" s="265"/>
      <c r="T576" s="111" t="s">
        <v>43</v>
      </c>
      <c r="U576" s="269" t="s">
        <v>1357</v>
      </c>
      <c r="V576" s="272">
        <v>44873</v>
      </c>
      <c r="W576" s="303">
        <v>83</v>
      </c>
      <c r="X576" s="303">
        <v>76</v>
      </c>
      <c r="Y576" s="265"/>
      <c r="Z576" s="265" t="s">
        <v>168</v>
      </c>
      <c r="AA576" s="265" t="s">
        <v>169</v>
      </c>
      <c r="AB576" s="291">
        <v>44925</v>
      </c>
      <c r="AC576" s="304"/>
      <c r="AD576" s="272">
        <v>44925</v>
      </c>
      <c r="AE576" s="272" t="s">
        <v>4264</v>
      </c>
      <c r="AF576" s="265" t="s">
        <v>4264</v>
      </c>
      <c r="AG576" s="306">
        <v>59</v>
      </c>
      <c r="AH576" s="307">
        <v>52</v>
      </c>
      <c r="AI576" s="265" t="s">
        <v>258</v>
      </c>
      <c r="AJ576" s="265"/>
      <c r="AK576" s="265" t="s">
        <v>4278</v>
      </c>
      <c r="AL576" s="272">
        <v>44924</v>
      </c>
      <c r="AM576" s="309">
        <v>43673000</v>
      </c>
      <c r="AN576" s="269" t="s">
        <v>4279</v>
      </c>
      <c r="AO576" s="265" t="s">
        <v>4280</v>
      </c>
      <c r="AP576" s="181">
        <f t="shared" si="287"/>
        <v>15220695</v>
      </c>
      <c r="AQ576" s="289"/>
      <c r="AR576" s="269"/>
      <c r="AS576" s="265"/>
      <c r="AT576" s="194"/>
      <c r="AU576" s="200"/>
      <c r="AV576" s="193"/>
      <c r="AW576" s="167"/>
      <c r="AX576" s="139"/>
      <c r="AY576" s="167">
        <f t="shared" si="288"/>
        <v>0.25844353966922945</v>
      </c>
      <c r="AZ576" s="139">
        <f t="shared" si="263"/>
        <v>0</v>
      </c>
      <c r="BA576" s="139">
        <f t="shared" si="289"/>
        <v>1</v>
      </c>
      <c r="BB576" s="132">
        <f>IF(AA576="CONTRATADO",IF(BA576=1,NETWORKDAYS.INTL(E576,AD576,1,[1]FESTIVOS!$B$3:$B$10)-1,AD576-E576))-BD576</f>
        <v>43</v>
      </c>
      <c r="BC576" s="95"/>
      <c r="BD576" s="2"/>
      <c r="BE576" s="2"/>
    </row>
    <row r="577" spans="2:57" ht="43.9" customHeight="1" x14ac:dyDescent="0.25">
      <c r="B577" s="100">
        <f t="shared" si="261"/>
        <v>559</v>
      </c>
      <c r="C577" s="293" t="s">
        <v>4111</v>
      </c>
      <c r="D577" s="265" t="s">
        <v>359</v>
      </c>
      <c r="E577" s="272">
        <v>44866</v>
      </c>
      <c r="F577" s="268" t="s">
        <v>4274</v>
      </c>
      <c r="G577" s="269" t="s">
        <v>4336</v>
      </c>
      <c r="H577" s="265" t="s">
        <v>4112</v>
      </c>
      <c r="I577" s="265"/>
      <c r="J577" s="269" t="s">
        <v>4113</v>
      </c>
      <c r="K577" s="342">
        <v>1296491842</v>
      </c>
      <c r="L577" s="270"/>
      <c r="M577" s="277" t="s">
        <v>4114</v>
      </c>
      <c r="N577" s="302" t="str">
        <f>MID(M577,5,3)</f>
        <v>IP-</v>
      </c>
      <c r="O577" s="265"/>
      <c r="P577" s="271"/>
      <c r="Q577" s="265"/>
      <c r="R577" s="265"/>
      <c r="S577" s="265"/>
      <c r="T577" s="111" t="s">
        <v>43</v>
      </c>
      <c r="U577" s="269" t="s">
        <v>312</v>
      </c>
      <c r="V577" s="272">
        <v>44876</v>
      </c>
      <c r="W577" s="303" t="e">
        <f>+$D$4-E577</f>
        <v>#VALUE!</v>
      </c>
      <c r="X577" s="303" t="e">
        <f>$D$4-V577</f>
        <v>#VALUE!</v>
      </c>
      <c r="Y577" s="265"/>
      <c r="Z577" s="265" t="s">
        <v>152</v>
      </c>
      <c r="AA577" s="265" t="s">
        <v>153</v>
      </c>
      <c r="AB577" s="272">
        <v>44895</v>
      </c>
      <c r="AC577" s="304" t="s">
        <v>4115</v>
      </c>
      <c r="AD577" s="272">
        <v>44895</v>
      </c>
      <c r="AE577" s="265"/>
      <c r="AF577" s="265" t="str">
        <f>+IF(AD577="","",TEXT(AD577,"mmm"))</f>
        <v>nov</v>
      </c>
      <c r="AG577" s="306">
        <f>+AD577-E577</f>
        <v>29</v>
      </c>
      <c r="AH577" s="307">
        <f>+AD577-V577</f>
        <v>19</v>
      </c>
      <c r="AI577" s="265"/>
      <c r="AJ577" s="265"/>
      <c r="AK577" s="265"/>
      <c r="AL577" s="265"/>
      <c r="AM577" s="265"/>
      <c r="AN577" s="309"/>
      <c r="AO577" s="269"/>
      <c r="AP577" s="265"/>
      <c r="AQ577" s="309"/>
      <c r="AR577" s="289"/>
      <c r="AS577" s="269"/>
      <c r="AT577" s="265"/>
      <c r="AU577" s="260"/>
      <c r="AV577" s="260"/>
      <c r="AW577" s="200"/>
      <c r="AX577" s="200"/>
      <c r="AY577" s="200"/>
      <c r="AZ577" s="139">
        <f t="shared" si="263"/>
        <v>0</v>
      </c>
      <c r="BA577" s="200"/>
      <c r="BB577" s="200"/>
      <c r="BC577" s="3"/>
      <c r="BD577" s="95"/>
      <c r="BE577" s="2"/>
    </row>
    <row r="578" spans="2:57" ht="43.9" customHeight="1" x14ac:dyDescent="0.25">
      <c r="B578" s="100">
        <f t="shared" si="261"/>
        <v>560</v>
      </c>
      <c r="C578" s="293" t="s">
        <v>4116</v>
      </c>
      <c r="D578" s="265" t="s">
        <v>359</v>
      </c>
      <c r="E578" s="313">
        <v>44868</v>
      </c>
      <c r="F578" s="268" t="s">
        <v>4274</v>
      </c>
      <c r="G578" s="269" t="s">
        <v>4117</v>
      </c>
      <c r="H578" s="265" t="s">
        <v>4118</v>
      </c>
      <c r="I578" s="265"/>
      <c r="J578" s="269" t="s">
        <v>4119</v>
      </c>
      <c r="K578" s="342">
        <v>199662655</v>
      </c>
      <c r="L578" s="270"/>
      <c r="M578" s="277" t="s">
        <v>4120</v>
      </c>
      <c r="N578" s="302" t="s">
        <v>4263</v>
      </c>
      <c r="O578" s="265"/>
      <c r="P578" s="271"/>
      <c r="Q578" s="265"/>
      <c r="R578" s="265"/>
      <c r="S578" s="265"/>
      <c r="T578" s="111" t="s">
        <v>43</v>
      </c>
      <c r="U578" s="269" t="s">
        <v>4082</v>
      </c>
      <c r="V578" s="272">
        <v>44873</v>
      </c>
      <c r="W578" s="303">
        <v>81</v>
      </c>
      <c r="X578" s="303">
        <v>76</v>
      </c>
      <c r="Y578" s="265"/>
      <c r="Z578" s="265" t="s">
        <v>168</v>
      </c>
      <c r="AA578" s="265" t="s">
        <v>169</v>
      </c>
      <c r="AB578" s="272">
        <v>44925</v>
      </c>
      <c r="AC578" s="318" t="s">
        <v>4121</v>
      </c>
      <c r="AD578" s="272">
        <v>44925</v>
      </c>
      <c r="AE578" s="272" t="s">
        <v>4264</v>
      </c>
      <c r="AF578" s="265" t="s">
        <v>4264</v>
      </c>
      <c r="AG578" s="306">
        <v>57</v>
      </c>
      <c r="AH578" s="307">
        <v>52</v>
      </c>
      <c r="AI578" s="265" t="s">
        <v>258</v>
      </c>
      <c r="AJ578" s="265"/>
      <c r="AK578" s="265" t="s">
        <v>4281</v>
      </c>
      <c r="AL578" s="272">
        <v>44924</v>
      </c>
      <c r="AM578" s="309">
        <v>199662655</v>
      </c>
      <c r="AN578" s="269" t="s">
        <v>4282</v>
      </c>
      <c r="AO578" s="265"/>
      <c r="AP578" s="181">
        <f t="shared" ref="AP578" si="290">+K578-AM578</f>
        <v>0</v>
      </c>
      <c r="AQ578" s="289"/>
      <c r="AR578" s="269"/>
      <c r="AS578" s="265"/>
      <c r="AT578" s="194"/>
      <c r="AU578" s="200"/>
      <c r="AV578" s="193"/>
      <c r="AW578" s="167"/>
      <c r="AX578" s="139"/>
      <c r="AY578" s="167">
        <f>+AP578/K578</f>
        <v>0</v>
      </c>
      <c r="AZ578" s="139">
        <f t="shared" si="263"/>
        <v>0</v>
      </c>
      <c r="BA578" s="139">
        <f>IF(T578="Invitación Privada",1,IF(T578="Invitación Pública",2,0))</f>
        <v>1</v>
      </c>
      <c r="BB578" s="132">
        <f>IF(AA578="CONTRATADO",IF(BA578=1,NETWORKDAYS.INTL(E578,AD578,1,[1]FESTIVOS!$B$3:$B$10)-1,AD578-E578))-BD578</f>
        <v>41</v>
      </c>
      <c r="BC578" s="95"/>
      <c r="BD578" s="2"/>
      <c r="BE578" s="2"/>
    </row>
    <row r="579" spans="2:57" ht="43.9" customHeight="1" x14ac:dyDescent="0.25">
      <c r="B579" s="100">
        <f t="shared" si="261"/>
        <v>561</v>
      </c>
      <c r="C579" s="277" t="s">
        <v>4017</v>
      </c>
      <c r="D579" s="277" t="s">
        <v>359</v>
      </c>
      <c r="E579" s="272">
        <v>44868</v>
      </c>
      <c r="F579" s="268" t="s">
        <v>4274</v>
      </c>
      <c r="G579" s="289" t="s">
        <v>4018</v>
      </c>
      <c r="H579" s="265" t="s">
        <v>4019</v>
      </c>
      <c r="I579" s="265"/>
      <c r="J579" s="289" t="s">
        <v>4020</v>
      </c>
      <c r="K579" s="342">
        <v>3082804945</v>
      </c>
      <c r="L579" s="292"/>
      <c r="M579" s="277" t="s">
        <v>4021</v>
      </c>
      <c r="N579" s="302" t="str">
        <f t="shared" ref="N579:N588" si="291">MID(M579,5,3)</f>
        <v>IPU</v>
      </c>
      <c r="O579" s="277"/>
      <c r="P579" s="277"/>
      <c r="Q579" s="277"/>
      <c r="R579" s="277"/>
      <c r="S579" s="277"/>
      <c r="T579" s="111" t="s">
        <v>40</v>
      </c>
      <c r="U579" s="269" t="s">
        <v>151</v>
      </c>
      <c r="V579" s="290">
        <v>44873</v>
      </c>
      <c r="W579" s="324" t="e">
        <f t="shared" ref="W579:W588" si="292">+$D$4-E579</f>
        <v>#VALUE!</v>
      </c>
      <c r="X579" s="324" t="e">
        <f t="shared" ref="X579:X588" si="293">$D$4-V579</f>
        <v>#VALUE!</v>
      </c>
      <c r="Y579" s="277"/>
      <c r="Z579" s="277" t="s">
        <v>152</v>
      </c>
      <c r="AA579" s="265" t="s">
        <v>153</v>
      </c>
      <c r="AB579" s="291">
        <v>44889</v>
      </c>
      <c r="AC579" s="304" t="s">
        <v>4022</v>
      </c>
      <c r="AD579" s="290">
        <v>44889</v>
      </c>
      <c r="AE579" s="277"/>
      <c r="AF579" s="265" t="str">
        <f t="shared" ref="AF579:AF588" si="294">+IF(AD579="","",TEXT(AD579,"mmm"))</f>
        <v>nov</v>
      </c>
      <c r="AG579" s="306">
        <f t="shared" ref="AG579:AG588" si="295">+AD579-E579</f>
        <v>21</v>
      </c>
      <c r="AH579" s="307">
        <f t="shared" ref="AH579:AH588" si="296">+AD579-V579</f>
        <v>16</v>
      </c>
      <c r="AI579" s="277"/>
      <c r="AJ579" s="277"/>
      <c r="AK579" s="277"/>
      <c r="AL579" s="277"/>
      <c r="AM579" s="277"/>
      <c r="AN579" s="309"/>
      <c r="AO579" s="289"/>
      <c r="AP579" s="277"/>
      <c r="AQ579" s="309"/>
      <c r="AR579" s="289"/>
      <c r="AS579" s="289"/>
      <c r="AT579" s="277"/>
      <c r="AU579" s="260"/>
      <c r="AV579" s="260"/>
      <c r="AW579" s="200"/>
      <c r="AX579" s="200"/>
      <c r="AY579" s="200"/>
      <c r="AZ579" s="139">
        <f t="shared" si="263"/>
        <v>0</v>
      </c>
      <c r="BA579" s="200"/>
      <c r="BB579" s="200"/>
      <c r="BC579" s="3"/>
      <c r="BD579" s="95"/>
      <c r="BE579" s="2"/>
    </row>
    <row r="580" spans="2:57" ht="43.9" customHeight="1" x14ac:dyDescent="0.25">
      <c r="B580" s="100">
        <f t="shared" si="261"/>
        <v>562</v>
      </c>
      <c r="C580" s="265" t="s">
        <v>4122</v>
      </c>
      <c r="D580" s="265" t="s">
        <v>28</v>
      </c>
      <c r="E580" s="272">
        <v>44868</v>
      </c>
      <c r="F580" s="268" t="s">
        <v>4274</v>
      </c>
      <c r="G580" s="289" t="s">
        <v>3634</v>
      </c>
      <c r="H580" s="265" t="s">
        <v>3635</v>
      </c>
      <c r="I580" s="265"/>
      <c r="J580" s="289" t="s">
        <v>4123</v>
      </c>
      <c r="K580" s="342">
        <v>500000000</v>
      </c>
      <c r="L580" s="292"/>
      <c r="M580" s="277" t="s">
        <v>4124</v>
      </c>
      <c r="N580" s="302" t="str">
        <f t="shared" si="291"/>
        <v>IP-</v>
      </c>
      <c r="O580" s="277"/>
      <c r="P580" s="277"/>
      <c r="Q580" s="277"/>
      <c r="R580" s="277"/>
      <c r="S580" s="277"/>
      <c r="T580" s="111" t="s">
        <v>43</v>
      </c>
      <c r="U580" s="269" t="s">
        <v>4036</v>
      </c>
      <c r="V580" s="290">
        <v>44873</v>
      </c>
      <c r="W580" s="303" t="e">
        <f t="shared" si="292"/>
        <v>#VALUE!</v>
      </c>
      <c r="X580" s="303" t="e">
        <f t="shared" si="293"/>
        <v>#VALUE!</v>
      </c>
      <c r="Y580" s="277"/>
      <c r="Z580" s="277" t="s">
        <v>152</v>
      </c>
      <c r="AA580" s="265" t="s">
        <v>153</v>
      </c>
      <c r="AB580" s="290">
        <v>44924</v>
      </c>
      <c r="AC580" s="304" t="s">
        <v>4337</v>
      </c>
      <c r="AD580" s="272">
        <v>44925</v>
      </c>
      <c r="AE580" s="265"/>
      <c r="AF580" s="265" t="str">
        <f t="shared" si="294"/>
        <v>dic</v>
      </c>
      <c r="AG580" s="306">
        <f t="shared" si="295"/>
        <v>57</v>
      </c>
      <c r="AH580" s="307">
        <f t="shared" si="296"/>
        <v>52</v>
      </c>
      <c r="AI580" s="265"/>
      <c r="AJ580" s="265"/>
      <c r="AK580" s="265"/>
      <c r="AL580" s="265"/>
      <c r="AM580" s="265"/>
      <c r="AN580" s="309"/>
      <c r="AO580" s="269"/>
      <c r="AP580" s="265"/>
      <c r="AQ580" s="309"/>
      <c r="AR580" s="289"/>
      <c r="AS580" s="269"/>
      <c r="AT580" s="265"/>
      <c r="AU580" s="260"/>
      <c r="AV580" s="260"/>
      <c r="AW580" s="200"/>
      <c r="AX580" s="200"/>
      <c r="AY580" s="200"/>
      <c r="AZ580" s="139">
        <f t="shared" si="263"/>
        <v>1</v>
      </c>
      <c r="BA580" s="200"/>
      <c r="BB580" s="200"/>
      <c r="BC580" s="3"/>
      <c r="BD580" s="95"/>
      <c r="BE580" s="2"/>
    </row>
    <row r="581" spans="2:57" ht="43.9" customHeight="1" x14ac:dyDescent="0.25">
      <c r="B581" s="100">
        <f t="shared" si="261"/>
        <v>563</v>
      </c>
      <c r="C581" s="265" t="s">
        <v>4043</v>
      </c>
      <c r="D581" s="265" t="s">
        <v>28</v>
      </c>
      <c r="E581" s="272">
        <v>44868</v>
      </c>
      <c r="F581" s="268" t="s">
        <v>4274</v>
      </c>
      <c r="G581" s="289" t="s">
        <v>4044</v>
      </c>
      <c r="H581" s="265" t="s">
        <v>4045</v>
      </c>
      <c r="I581" s="265" t="s">
        <v>1224</v>
      </c>
      <c r="J581" s="289" t="s">
        <v>4046</v>
      </c>
      <c r="K581" s="342">
        <v>95655069</v>
      </c>
      <c r="L581" s="292"/>
      <c r="M581" s="277"/>
      <c r="N581" s="302" t="str">
        <f t="shared" si="291"/>
        <v/>
      </c>
      <c r="O581" s="277"/>
      <c r="P581" s="277"/>
      <c r="Q581" s="277"/>
      <c r="R581" s="277"/>
      <c r="S581" s="277"/>
      <c r="T581" s="280" t="str">
        <f>(IF(N581="IPU","INVITACION PUBLICA",(IF(N581="IP-","INVITACION PRIVADA"," "))))</f>
        <v xml:space="preserve"> </v>
      </c>
      <c r="U581" s="269" t="s">
        <v>29</v>
      </c>
      <c r="V581" s="290">
        <v>44873</v>
      </c>
      <c r="W581" s="303" t="e">
        <f t="shared" si="292"/>
        <v>#VALUE!</v>
      </c>
      <c r="X581" s="303" t="e">
        <f t="shared" si="293"/>
        <v>#VALUE!</v>
      </c>
      <c r="Y581" s="265" t="s">
        <v>1300</v>
      </c>
      <c r="Z581" s="265" t="s">
        <v>214</v>
      </c>
      <c r="AA581" s="265" t="s">
        <v>215</v>
      </c>
      <c r="AB581" s="290">
        <v>44880</v>
      </c>
      <c r="AC581" s="304" t="s">
        <v>4047</v>
      </c>
      <c r="AD581" s="290">
        <v>44880</v>
      </c>
      <c r="AE581" s="277"/>
      <c r="AF581" s="265" t="str">
        <f t="shared" si="294"/>
        <v>nov</v>
      </c>
      <c r="AG581" s="306">
        <f t="shared" si="295"/>
        <v>12</v>
      </c>
      <c r="AH581" s="307">
        <f t="shared" si="296"/>
        <v>7</v>
      </c>
      <c r="AI581" s="277"/>
      <c r="AJ581" s="277"/>
      <c r="AK581" s="277"/>
      <c r="AL581" s="277"/>
      <c r="AM581" s="309"/>
      <c r="AN581" s="269"/>
      <c r="AO581" s="277"/>
      <c r="AP581" s="309"/>
      <c r="AQ581" s="289"/>
      <c r="AR581" s="289"/>
      <c r="AS581" s="277"/>
      <c r="AT581" s="260"/>
      <c r="AU581" s="260"/>
      <c r="AV581" s="200"/>
      <c r="AW581" s="200"/>
      <c r="AX581" s="200"/>
      <c r="AY581" s="200"/>
      <c r="AZ581" s="139">
        <f t="shared" si="263"/>
        <v>1</v>
      </c>
      <c r="BA581" s="200"/>
      <c r="BB581" s="203"/>
      <c r="BC581" s="95"/>
      <c r="BD581" s="2"/>
      <c r="BE581" s="2"/>
    </row>
    <row r="582" spans="2:57" ht="43.9" customHeight="1" x14ac:dyDescent="0.25">
      <c r="B582" s="100">
        <f t="shared" si="261"/>
        <v>564</v>
      </c>
      <c r="C582" s="265" t="s">
        <v>4048</v>
      </c>
      <c r="D582" s="265" t="s">
        <v>2139</v>
      </c>
      <c r="E582" s="272">
        <v>44869</v>
      </c>
      <c r="F582" s="268" t="s">
        <v>4274</v>
      </c>
      <c r="G582" s="289" t="s">
        <v>4049</v>
      </c>
      <c r="H582" s="265" t="s">
        <v>4050</v>
      </c>
      <c r="I582" s="265"/>
      <c r="J582" s="289" t="s">
        <v>4051</v>
      </c>
      <c r="K582" s="342">
        <v>3521229000</v>
      </c>
      <c r="L582" s="292"/>
      <c r="M582" s="277"/>
      <c r="N582" s="302" t="str">
        <f t="shared" si="291"/>
        <v/>
      </c>
      <c r="O582" s="277"/>
      <c r="P582" s="277"/>
      <c r="Q582" s="277"/>
      <c r="R582" s="277"/>
      <c r="S582" s="277"/>
      <c r="T582" s="280" t="str">
        <f>(IF(N582="IPU","INVITACION PUBLICA",(IF(N582="IP-","INVITACION PRIVADA"," "))))</f>
        <v xml:space="preserve"> </v>
      </c>
      <c r="U582" s="269" t="s">
        <v>4012</v>
      </c>
      <c r="V582" s="290">
        <v>44874</v>
      </c>
      <c r="W582" s="303" t="e">
        <f t="shared" si="292"/>
        <v>#VALUE!</v>
      </c>
      <c r="X582" s="303" t="e">
        <f t="shared" si="293"/>
        <v>#VALUE!</v>
      </c>
      <c r="Y582" s="265" t="s">
        <v>1300</v>
      </c>
      <c r="Z582" s="265" t="s">
        <v>214</v>
      </c>
      <c r="AA582" s="265" t="s">
        <v>215</v>
      </c>
      <c r="AB582" s="277"/>
      <c r="AC582" s="304"/>
      <c r="AD582" s="290">
        <v>44869</v>
      </c>
      <c r="AE582" s="277"/>
      <c r="AF582" s="265" t="str">
        <f t="shared" si="294"/>
        <v>nov</v>
      </c>
      <c r="AG582" s="306">
        <f t="shared" si="295"/>
        <v>0</v>
      </c>
      <c r="AH582" s="307">
        <f t="shared" si="296"/>
        <v>-5</v>
      </c>
      <c r="AI582" s="277"/>
      <c r="AJ582" s="277"/>
      <c r="AK582" s="277"/>
      <c r="AL582" s="277"/>
      <c r="AM582" s="309"/>
      <c r="AN582" s="269"/>
      <c r="AO582" s="277"/>
      <c r="AP582" s="309"/>
      <c r="AQ582" s="289"/>
      <c r="AR582" s="289"/>
      <c r="AS582" s="277"/>
      <c r="AT582" s="260"/>
      <c r="AU582" s="260"/>
      <c r="AV582" s="200"/>
      <c r="AW582" s="200"/>
      <c r="AX582" s="200"/>
      <c r="AY582" s="200"/>
      <c r="AZ582" s="139">
        <f t="shared" si="263"/>
        <v>0</v>
      </c>
      <c r="BA582" s="200"/>
      <c r="BB582" s="203"/>
      <c r="BC582" s="95"/>
      <c r="BD582" s="2"/>
      <c r="BE582" s="2"/>
    </row>
    <row r="583" spans="2:57" ht="43.9" customHeight="1" x14ac:dyDescent="0.25">
      <c r="B583" s="100">
        <f t="shared" si="261"/>
        <v>565</v>
      </c>
      <c r="C583" s="265" t="s">
        <v>4125</v>
      </c>
      <c r="D583" s="265" t="s">
        <v>1559</v>
      </c>
      <c r="E583" s="272">
        <v>44869</v>
      </c>
      <c r="F583" s="268" t="s">
        <v>4274</v>
      </c>
      <c r="G583" s="289" t="s">
        <v>3638</v>
      </c>
      <c r="H583" s="265" t="s">
        <v>3639</v>
      </c>
      <c r="I583" s="265"/>
      <c r="J583" s="289" t="s">
        <v>3640</v>
      </c>
      <c r="K583" s="342">
        <v>478845428</v>
      </c>
      <c r="L583" s="292"/>
      <c r="M583" s="277" t="s">
        <v>4126</v>
      </c>
      <c r="N583" s="302" t="str">
        <f t="shared" si="291"/>
        <v>IP-</v>
      </c>
      <c r="O583" s="277"/>
      <c r="P583" s="277"/>
      <c r="Q583" s="277"/>
      <c r="R583" s="277"/>
      <c r="S583" s="277"/>
      <c r="T583" s="111" t="s">
        <v>43</v>
      </c>
      <c r="U583" s="269" t="s">
        <v>4082</v>
      </c>
      <c r="V583" s="290">
        <v>44874</v>
      </c>
      <c r="W583" s="303" t="e">
        <f t="shared" si="292"/>
        <v>#VALUE!</v>
      </c>
      <c r="X583" s="303" t="e">
        <f t="shared" si="293"/>
        <v>#VALUE!</v>
      </c>
      <c r="Y583" s="277"/>
      <c r="Z583" s="277" t="s">
        <v>214</v>
      </c>
      <c r="AA583" s="265" t="s">
        <v>215</v>
      </c>
      <c r="AB583" s="290">
        <v>44921</v>
      </c>
      <c r="AC583" s="318" t="s">
        <v>4365</v>
      </c>
      <c r="AD583" s="290">
        <v>44921</v>
      </c>
      <c r="AE583" s="277"/>
      <c r="AF583" s="265" t="str">
        <f t="shared" si="294"/>
        <v>dic</v>
      </c>
      <c r="AG583" s="306">
        <f t="shared" si="295"/>
        <v>52</v>
      </c>
      <c r="AH583" s="307">
        <f t="shared" si="296"/>
        <v>47</v>
      </c>
      <c r="AI583" s="277"/>
      <c r="AJ583" s="277"/>
      <c r="AK583" s="277"/>
      <c r="AL583" s="277"/>
      <c r="AM583" s="309"/>
      <c r="AN583" s="269"/>
      <c r="AO583" s="277"/>
      <c r="AP583" s="309"/>
      <c r="AQ583" s="289"/>
      <c r="AR583" s="289"/>
      <c r="AS583" s="277"/>
      <c r="AT583" s="260"/>
      <c r="AU583" s="260"/>
      <c r="AV583" s="200"/>
      <c r="AW583" s="200"/>
      <c r="AX583" s="200"/>
      <c r="AY583" s="200"/>
      <c r="AZ583" s="139">
        <f t="shared" si="263"/>
        <v>0</v>
      </c>
      <c r="BA583" s="200"/>
      <c r="BB583" s="203"/>
      <c r="BC583" s="95"/>
      <c r="BD583" s="2"/>
      <c r="BE583" s="2"/>
    </row>
    <row r="584" spans="2:57" ht="43.9" customHeight="1" x14ac:dyDescent="0.25">
      <c r="B584" s="100">
        <f t="shared" si="261"/>
        <v>566</v>
      </c>
      <c r="C584" s="265" t="s">
        <v>4127</v>
      </c>
      <c r="D584" s="265" t="s">
        <v>1559</v>
      </c>
      <c r="E584" s="272">
        <v>44869</v>
      </c>
      <c r="F584" s="268" t="s">
        <v>4274</v>
      </c>
      <c r="G584" s="289" t="s">
        <v>3278</v>
      </c>
      <c r="H584" s="265" t="s">
        <v>3279</v>
      </c>
      <c r="I584" s="265"/>
      <c r="J584" s="289" t="s">
        <v>3280</v>
      </c>
      <c r="K584" s="342">
        <v>115852936</v>
      </c>
      <c r="L584" s="292"/>
      <c r="M584" s="277" t="s">
        <v>4128</v>
      </c>
      <c r="N584" s="302" t="str">
        <f t="shared" si="291"/>
        <v>IP-</v>
      </c>
      <c r="O584" s="277"/>
      <c r="P584" s="277"/>
      <c r="Q584" s="277"/>
      <c r="R584" s="277"/>
      <c r="S584" s="277"/>
      <c r="T584" s="111" t="s">
        <v>43</v>
      </c>
      <c r="U584" s="269" t="s">
        <v>277</v>
      </c>
      <c r="V584" s="290">
        <v>44874</v>
      </c>
      <c r="W584" s="303" t="e">
        <f t="shared" si="292"/>
        <v>#VALUE!</v>
      </c>
      <c r="X584" s="303" t="e">
        <f t="shared" si="293"/>
        <v>#VALUE!</v>
      </c>
      <c r="Y584" s="277"/>
      <c r="Z584" s="277" t="s">
        <v>152</v>
      </c>
      <c r="AA584" s="265" t="s">
        <v>153</v>
      </c>
      <c r="AB584" s="290">
        <v>44917</v>
      </c>
      <c r="AC584" s="304" t="s">
        <v>4338</v>
      </c>
      <c r="AD584" s="290">
        <v>44917</v>
      </c>
      <c r="AE584" s="277"/>
      <c r="AF584" s="265" t="str">
        <f t="shared" si="294"/>
        <v>dic</v>
      </c>
      <c r="AG584" s="306">
        <f t="shared" si="295"/>
        <v>48</v>
      </c>
      <c r="AH584" s="307">
        <f t="shared" si="296"/>
        <v>43</v>
      </c>
      <c r="AI584" s="277"/>
      <c r="AJ584" s="277"/>
      <c r="AK584" s="277"/>
      <c r="AL584" s="277"/>
      <c r="AM584" s="277"/>
      <c r="AN584" s="309"/>
      <c r="AO584" s="289"/>
      <c r="AP584" s="277"/>
      <c r="AQ584" s="309"/>
      <c r="AR584" s="289"/>
      <c r="AS584" s="289"/>
      <c r="AT584" s="277"/>
      <c r="AU584" s="260"/>
      <c r="AV584" s="260"/>
      <c r="AW584" s="200"/>
      <c r="AX584" s="200"/>
      <c r="AY584" s="200"/>
      <c r="AZ584" s="139">
        <f t="shared" si="263"/>
        <v>0</v>
      </c>
      <c r="BA584" s="200"/>
      <c r="BB584" s="200"/>
      <c r="BC584" s="3"/>
      <c r="BD584" s="95"/>
      <c r="BE584" s="2"/>
    </row>
    <row r="585" spans="2:57" ht="43.9" customHeight="1" x14ac:dyDescent="0.25">
      <c r="B585" s="100">
        <f t="shared" si="261"/>
        <v>567</v>
      </c>
      <c r="C585" s="265" t="s">
        <v>4129</v>
      </c>
      <c r="D585" s="265" t="s">
        <v>1559</v>
      </c>
      <c r="E585" s="272">
        <v>44869</v>
      </c>
      <c r="F585" s="268" t="s">
        <v>4274</v>
      </c>
      <c r="G585" s="289" t="s">
        <v>4339</v>
      </c>
      <c r="H585" s="265" t="s">
        <v>2127</v>
      </c>
      <c r="I585" s="265"/>
      <c r="J585" s="289" t="s">
        <v>2128</v>
      </c>
      <c r="K585" s="342">
        <v>346526416</v>
      </c>
      <c r="L585" s="292"/>
      <c r="M585" s="277" t="s">
        <v>4130</v>
      </c>
      <c r="N585" s="302" t="str">
        <f t="shared" si="291"/>
        <v>IP-</v>
      </c>
      <c r="O585" s="277"/>
      <c r="P585" s="277"/>
      <c r="Q585" s="277"/>
      <c r="R585" s="277"/>
      <c r="S585" s="277"/>
      <c r="T585" s="111" t="s">
        <v>43</v>
      </c>
      <c r="U585" s="269" t="s">
        <v>2941</v>
      </c>
      <c r="V585" s="290">
        <v>44911</v>
      </c>
      <c r="W585" s="303" t="e">
        <f t="shared" si="292"/>
        <v>#VALUE!</v>
      </c>
      <c r="X585" s="303" t="e">
        <f t="shared" si="293"/>
        <v>#VALUE!</v>
      </c>
      <c r="Y585" s="277"/>
      <c r="Z585" s="277" t="s">
        <v>152</v>
      </c>
      <c r="AA585" s="265" t="s">
        <v>153</v>
      </c>
      <c r="AB585" s="290">
        <v>44925</v>
      </c>
      <c r="AC585" s="304"/>
      <c r="AD585" s="290">
        <v>44925</v>
      </c>
      <c r="AE585" s="277"/>
      <c r="AF585" s="265" t="str">
        <f t="shared" si="294"/>
        <v>dic</v>
      </c>
      <c r="AG585" s="306">
        <f t="shared" si="295"/>
        <v>56</v>
      </c>
      <c r="AH585" s="307">
        <f t="shared" si="296"/>
        <v>14</v>
      </c>
      <c r="AI585" s="277"/>
      <c r="AJ585" s="277"/>
      <c r="AK585" s="277"/>
      <c r="AL585" s="277"/>
      <c r="AM585" s="277"/>
      <c r="AN585" s="309"/>
      <c r="AO585" s="289"/>
      <c r="AP585" s="277"/>
      <c r="AQ585" s="309"/>
      <c r="AR585" s="289"/>
      <c r="AS585" s="289"/>
      <c r="AT585" s="277"/>
      <c r="AU585" s="260"/>
      <c r="AV585" s="260"/>
      <c r="AW585" s="200"/>
      <c r="AX585" s="200"/>
      <c r="AY585" s="200"/>
      <c r="AZ585" s="139">
        <f t="shared" si="263"/>
        <v>0</v>
      </c>
      <c r="BA585" s="200"/>
      <c r="BB585" s="200"/>
      <c r="BC585" s="3"/>
      <c r="BD585" s="95"/>
      <c r="BE585" s="2"/>
    </row>
    <row r="586" spans="2:57" ht="43.9" customHeight="1" x14ac:dyDescent="0.25">
      <c r="B586" s="100">
        <f t="shared" si="261"/>
        <v>568</v>
      </c>
      <c r="C586" s="265" t="s">
        <v>4131</v>
      </c>
      <c r="D586" s="265" t="s">
        <v>1559</v>
      </c>
      <c r="E586" s="272">
        <v>44869</v>
      </c>
      <c r="F586" s="268" t="s">
        <v>4274</v>
      </c>
      <c r="G586" s="289" t="s">
        <v>3656</v>
      </c>
      <c r="H586" s="265" t="s">
        <v>3657</v>
      </c>
      <c r="I586" s="265"/>
      <c r="J586" s="289" t="s">
        <v>3658</v>
      </c>
      <c r="K586" s="342">
        <v>146064884</v>
      </c>
      <c r="L586" s="292"/>
      <c r="M586" s="277" t="s">
        <v>4132</v>
      </c>
      <c r="N586" s="302" t="str">
        <f t="shared" si="291"/>
        <v>IP-</v>
      </c>
      <c r="O586" s="277"/>
      <c r="P586" s="277"/>
      <c r="Q586" s="277"/>
      <c r="R586" s="277"/>
      <c r="S586" s="277"/>
      <c r="T586" s="111" t="s">
        <v>43</v>
      </c>
      <c r="U586" s="269" t="s">
        <v>2849</v>
      </c>
      <c r="V586" s="290">
        <v>44874</v>
      </c>
      <c r="W586" s="303" t="e">
        <f t="shared" si="292"/>
        <v>#VALUE!</v>
      </c>
      <c r="X586" s="303" t="e">
        <f t="shared" si="293"/>
        <v>#VALUE!</v>
      </c>
      <c r="Y586" s="277"/>
      <c r="Z586" s="277" t="s">
        <v>152</v>
      </c>
      <c r="AA586" s="265" t="s">
        <v>153</v>
      </c>
      <c r="AB586" s="290">
        <v>44925</v>
      </c>
      <c r="AC586" s="304" t="s">
        <v>4133</v>
      </c>
      <c r="AD586" s="290">
        <v>44925</v>
      </c>
      <c r="AE586" s="277"/>
      <c r="AF586" s="265" t="str">
        <f t="shared" si="294"/>
        <v>dic</v>
      </c>
      <c r="AG586" s="306">
        <f t="shared" si="295"/>
        <v>56</v>
      </c>
      <c r="AH586" s="307">
        <f t="shared" si="296"/>
        <v>51</v>
      </c>
      <c r="AI586" s="277"/>
      <c r="AJ586" s="277"/>
      <c r="AK586" s="277"/>
      <c r="AL586" s="277"/>
      <c r="AM586" s="277"/>
      <c r="AN586" s="309"/>
      <c r="AO586" s="289"/>
      <c r="AP586" s="277"/>
      <c r="AQ586" s="309"/>
      <c r="AR586" s="289"/>
      <c r="AS586" s="289"/>
      <c r="AT586" s="277"/>
      <c r="AU586" s="260"/>
      <c r="AV586" s="260"/>
      <c r="AW586" s="200"/>
      <c r="AX586" s="200"/>
      <c r="AY586" s="200"/>
      <c r="AZ586" s="139">
        <f t="shared" si="263"/>
        <v>0</v>
      </c>
      <c r="BA586" s="200"/>
      <c r="BB586" s="200"/>
      <c r="BC586" s="3"/>
      <c r="BD586" s="95"/>
      <c r="BE586" s="2"/>
    </row>
    <row r="587" spans="2:57" ht="43.9" customHeight="1" x14ac:dyDescent="0.25">
      <c r="B587" s="100">
        <f t="shared" si="261"/>
        <v>569</v>
      </c>
      <c r="C587" s="265" t="s">
        <v>4134</v>
      </c>
      <c r="D587" s="265" t="s">
        <v>1559</v>
      </c>
      <c r="E587" s="272">
        <v>44869</v>
      </c>
      <c r="F587" s="268" t="s">
        <v>4274</v>
      </c>
      <c r="G587" s="289" t="s">
        <v>4135</v>
      </c>
      <c r="H587" s="265" t="s">
        <v>4136</v>
      </c>
      <c r="I587" s="265"/>
      <c r="J587" s="289" t="s">
        <v>4137</v>
      </c>
      <c r="K587" s="342">
        <v>460000009</v>
      </c>
      <c r="L587" s="292"/>
      <c r="M587" s="277" t="s">
        <v>4138</v>
      </c>
      <c r="N587" s="302" t="str">
        <f t="shared" si="291"/>
        <v>IP-</v>
      </c>
      <c r="O587" s="277"/>
      <c r="P587" s="277"/>
      <c r="Q587" s="277"/>
      <c r="R587" s="277"/>
      <c r="S587" s="277"/>
      <c r="T587" s="111" t="s">
        <v>43</v>
      </c>
      <c r="U587" s="269" t="s">
        <v>2941</v>
      </c>
      <c r="V587" s="290">
        <v>44911</v>
      </c>
      <c r="W587" s="303" t="e">
        <f t="shared" si="292"/>
        <v>#VALUE!</v>
      </c>
      <c r="X587" s="303" t="e">
        <f t="shared" si="293"/>
        <v>#VALUE!</v>
      </c>
      <c r="Y587" s="277"/>
      <c r="Z587" s="277" t="s">
        <v>152</v>
      </c>
      <c r="AA587" s="265" t="s">
        <v>153</v>
      </c>
      <c r="AB587" s="290">
        <v>44925</v>
      </c>
      <c r="AC587" s="304"/>
      <c r="AD587" s="290">
        <v>44925</v>
      </c>
      <c r="AE587" s="277"/>
      <c r="AF587" s="265" t="str">
        <f t="shared" si="294"/>
        <v>dic</v>
      </c>
      <c r="AG587" s="306">
        <f t="shared" si="295"/>
        <v>56</v>
      </c>
      <c r="AH587" s="307">
        <f t="shared" si="296"/>
        <v>14</v>
      </c>
      <c r="AI587" s="277"/>
      <c r="AJ587" s="277"/>
      <c r="AK587" s="277"/>
      <c r="AL587" s="277"/>
      <c r="AM587" s="277"/>
      <c r="AN587" s="309"/>
      <c r="AO587" s="289"/>
      <c r="AP587" s="277"/>
      <c r="AQ587" s="309"/>
      <c r="AR587" s="289"/>
      <c r="AS587" s="289"/>
      <c r="AT587" s="277"/>
      <c r="AU587" s="260"/>
      <c r="AV587" s="260"/>
      <c r="AW587" s="200"/>
      <c r="AX587" s="200"/>
      <c r="AY587" s="200"/>
      <c r="AZ587" s="139">
        <f t="shared" si="263"/>
        <v>0</v>
      </c>
      <c r="BA587" s="200"/>
      <c r="BB587" s="200"/>
      <c r="BC587" s="3"/>
      <c r="BD587" s="95"/>
      <c r="BE587" s="2"/>
    </row>
    <row r="588" spans="2:57" ht="43.9" customHeight="1" x14ac:dyDescent="0.25">
      <c r="B588" s="100">
        <f t="shared" si="261"/>
        <v>570</v>
      </c>
      <c r="C588" s="265" t="s">
        <v>4139</v>
      </c>
      <c r="D588" s="312" t="s">
        <v>32</v>
      </c>
      <c r="E588" s="272">
        <v>44869</v>
      </c>
      <c r="F588" s="268" t="s">
        <v>4274</v>
      </c>
      <c r="G588" s="289" t="s">
        <v>4140</v>
      </c>
      <c r="H588" s="265" t="s">
        <v>4141</v>
      </c>
      <c r="I588" s="265"/>
      <c r="J588" s="289" t="s">
        <v>4142</v>
      </c>
      <c r="K588" s="342">
        <v>892500</v>
      </c>
      <c r="L588" s="292"/>
      <c r="M588" s="277" t="s">
        <v>4143</v>
      </c>
      <c r="N588" s="302" t="str">
        <f t="shared" si="291"/>
        <v>IP-</v>
      </c>
      <c r="O588" s="277"/>
      <c r="P588" s="277"/>
      <c r="Q588" s="277"/>
      <c r="R588" s="277"/>
      <c r="S588" s="277"/>
      <c r="T588" s="111" t="s">
        <v>43</v>
      </c>
      <c r="U588" s="269" t="s">
        <v>624</v>
      </c>
      <c r="V588" s="272">
        <v>44874</v>
      </c>
      <c r="W588" s="303" t="e">
        <f t="shared" si="292"/>
        <v>#VALUE!</v>
      </c>
      <c r="X588" s="303" t="e">
        <f t="shared" si="293"/>
        <v>#VALUE!</v>
      </c>
      <c r="Y588" s="277"/>
      <c r="Z588" s="277" t="s">
        <v>152</v>
      </c>
      <c r="AA588" s="265" t="s">
        <v>153</v>
      </c>
      <c r="AB588" s="272">
        <v>44925</v>
      </c>
      <c r="AC588" s="304" t="s">
        <v>4144</v>
      </c>
      <c r="AD588" s="290">
        <v>44925</v>
      </c>
      <c r="AE588" s="277"/>
      <c r="AF588" s="265" t="str">
        <f t="shared" si="294"/>
        <v>dic</v>
      </c>
      <c r="AG588" s="306">
        <f t="shared" si="295"/>
        <v>56</v>
      </c>
      <c r="AH588" s="307">
        <f t="shared" si="296"/>
        <v>51</v>
      </c>
      <c r="AI588" s="277"/>
      <c r="AJ588" s="277"/>
      <c r="AK588" s="277"/>
      <c r="AL588" s="277"/>
      <c r="AM588" s="277"/>
      <c r="AN588" s="309"/>
      <c r="AO588" s="289"/>
      <c r="AP588" s="277"/>
      <c r="AQ588" s="309"/>
      <c r="AR588" s="289"/>
      <c r="AS588" s="289"/>
      <c r="AT588" s="277"/>
      <c r="AU588" s="260"/>
      <c r="AV588" s="260"/>
      <c r="AW588" s="200"/>
      <c r="AX588" s="200"/>
      <c r="AY588" s="200"/>
      <c r="AZ588" s="139">
        <f t="shared" si="263"/>
        <v>1</v>
      </c>
      <c r="BA588" s="200"/>
      <c r="BB588" s="200"/>
      <c r="BC588" s="3"/>
      <c r="BD588" s="95"/>
      <c r="BE588" s="2"/>
    </row>
    <row r="589" spans="2:57" ht="43.9" customHeight="1" x14ac:dyDescent="0.25">
      <c r="B589" s="100">
        <f t="shared" si="261"/>
        <v>571</v>
      </c>
      <c r="C589" s="265" t="s">
        <v>207</v>
      </c>
      <c r="D589" s="312" t="s">
        <v>32</v>
      </c>
      <c r="E589" s="272">
        <v>44869</v>
      </c>
      <c r="F589" s="268" t="s">
        <v>4274</v>
      </c>
      <c r="G589" s="289" t="s">
        <v>4145</v>
      </c>
      <c r="H589" s="265" t="s">
        <v>4146</v>
      </c>
      <c r="I589" s="265"/>
      <c r="J589" s="289" t="s">
        <v>4147</v>
      </c>
      <c r="K589" s="342">
        <v>33891200</v>
      </c>
      <c r="L589" s="292"/>
      <c r="M589" s="277" t="s">
        <v>4148</v>
      </c>
      <c r="N589" s="302" t="s">
        <v>4263</v>
      </c>
      <c r="O589" s="277"/>
      <c r="P589" s="277"/>
      <c r="Q589" s="277"/>
      <c r="R589" s="277"/>
      <c r="S589" s="277"/>
      <c r="T589" s="111" t="s">
        <v>43</v>
      </c>
      <c r="U589" s="269" t="s">
        <v>2842</v>
      </c>
      <c r="V589" s="290">
        <v>44874</v>
      </c>
      <c r="W589" s="303">
        <v>80</v>
      </c>
      <c r="X589" s="303">
        <v>75</v>
      </c>
      <c r="Y589" s="277"/>
      <c r="Z589" s="277" t="s">
        <v>168</v>
      </c>
      <c r="AA589" s="265" t="s">
        <v>169</v>
      </c>
      <c r="AB589" s="290">
        <v>44925</v>
      </c>
      <c r="AC589" s="304"/>
      <c r="AD589" s="272">
        <v>44925</v>
      </c>
      <c r="AE589" s="272" t="s">
        <v>4264</v>
      </c>
      <c r="AF589" s="265" t="s">
        <v>4264</v>
      </c>
      <c r="AG589" s="306">
        <v>56</v>
      </c>
      <c r="AH589" s="307">
        <v>51</v>
      </c>
      <c r="AI589" s="265" t="s">
        <v>258</v>
      </c>
      <c r="AJ589" s="277"/>
      <c r="AK589" s="265" t="s">
        <v>4283</v>
      </c>
      <c r="AL589" s="290">
        <v>44918</v>
      </c>
      <c r="AM589" s="309">
        <v>33891200</v>
      </c>
      <c r="AN589" s="269" t="s">
        <v>4284</v>
      </c>
      <c r="AO589" s="277" t="s">
        <v>4285</v>
      </c>
      <c r="AP589" s="181">
        <f t="shared" ref="AP589:AP591" si="297">+K589-AM589</f>
        <v>0</v>
      </c>
      <c r="AQ589" s="289"/>
      <c r="AR589" s="289"/>
      <c r="AS589" s="277"/>
      <c r="AT589" s="194"/>
      <c r="AU589" s="200"/>
      <c r="AV589" s="193"/>
      <c r="AW589" s="167"/>
      <c r="AX589" s="139"/>
      <c r="AY589" s="167">
        <f t="shared" ref="AY589:AY591" si="298">+AP589/K589</f>
        <v>0</v>
      </c>
      <c r="AZ589" s="139">
        <f t="shared" si="263"/>
        <v>1</v>
      </c>
      <c r="BA589" s="139">
        <f t="shared" ref="BA589:BA591" si="299">IF(T589="Invitación Privada",1,IF(T589="Invitación Pública",2,0))</f>
        <v>1</v>
      </c>
      <c r="BB589" s="132">
        <f>IF(AA589="CONTRATADO",IF(BA589=1,NETWORKDAYS.INTL(E589,AD589,1,[1]FESTIVOS!$B$3:$B$10)-1,AD589-E589))-BD589</f>
        <v>40</v>
      </c>
      <c r="BC589" s="95"/>
      <c r="BD589" s="2"/>
      <c r="BE589" s="2"/>
    </row>
    <row r="590" spans="2:57" ht="43.9" customHeight="1" x14ac:dyDescent="0.25">
      <c r="B590" s="100">
        <f t="shared" si="261"/>
        <v>572</v>
      </c>
      <c r="C590" s="293" t="s">
        <v>217</v>
      </c>
      <c r="D590" s="312" t="s">
        <v>32</v>
      </c>
      <c r="E590" s="272">
        <v>44873</v>
      </c>
      <c r="F590" s="268" t="s">
        <v>4274</v>
      </c>
      <c r="G590" s="289" t="s">
        <v>4286</v>
      </c>
      <c r="H590" s="265" t="s">
        <v>2038</v>
      </c>
      <c r="I590" s="265"/>
      <c r="J590" s="289" t="s">
        <v>4149</v>
      </c>
      <c r="K590" s="342">
        <v>126976393</v>
      </c>
      <c r="L590" s="292"/>
      <c r="M590" s="277" t="s">
        <v>4150</v>
      </c>
      <c r="N590" s="302" t="s">
        <v>4263</v>
      </c>
      <c r="O590" s="277"/>
      <c r="P590" s="277"/>
      <c r="Q590" s="277"/>
      <c r="R590" s="277"/>
      <c r="S590" s="277"/>
      <c r="T590" s="111" t="s">
        <v>43</v>
      </c>
      <c r="U590" s="269" t="s">
        <v>277</v>
      </c>
      <c r="V590" s="290">
        <v>44874</v>
      </c>
      <c r="W590" s="303">
        <v>76</v>
      </c>
      <c r="X590" s="303">
        <v>75</v>
      </c>
      <c r="Y590" s="277"/>
      <c r="Z590" s="277" t="s">
        <v>168</v>
      </c>
      <c r="AA590" s="265" t="s">
        <v>169</v>
      </c>
      <c r="AB590" s="290">
        <v>44925</v>
      </c>
      <c r="AC590" s="304"/>
      <c r="AD590" s="272">
        <v>44924</v>
      </c>
      <c r="AE590" s="272" t="s">
        <v>4264</v>
      </c>
      <c r="AF590" s="265" t="s">
        <v>4264</v>
      </c>
      <c r="AG590" s="306">
        <v>51</v>
      </c>
      <c r="AH590" s="307">
        <v>50</v>
      </c>
      <c r="AI590" s="265" t="s">
        <v>258</v>
      </c>
      <c r="AJ590" s="277"/>
      <c r="AK590" s="265" t="s">
        <v>4287</v>
      </c>
      <c r="AL590" s="290">
        <v>44922</v>
      </c>
      <c r="AM590" s="309">
        <v>126965610</v>
      </c>
      <c r="AN590" s="269" t="s">
        <v>4288</v>
      </c>
      <c r="AO590" s="277" t="s">
        <v>4289</v>
      </c>
      <c r="AP590" s="181">
        <f t="shared" si="297"/>
        <v>10783</v>
      </c>
      <c r="AQ590" s="289"/>
      <c r="AR590" s="289"/>
      <c r="AS590" s="277"/>
      <c r="AT590" s="194"/>
      <c r="AU590" s="200"/>
      <c r="AV590" s="193"/>
      <c r="AW590" s="167"/>
      <c r="AX590" s="139"/>
      <c r="AY590" s="167">
        <f t="shared" si="298"/>
        <v>8.4921297142217606E-5</v>
      </c>
      <c r="AZ590" s="139">
        <f t="shared" si="263"/>
        <v>1</v>
      </c>
      <c r="BA590" s="139">
        <f t="shared" si="299"/>
        <v>1</v>
      </c>
      <c r="BB590" s="132">
        <f>IF(AA590="CONTRATADO",IF(BA590=1,NETWORKDAYS.INTL(E590,AD590,1,[1]FESTIVOS!$B$3:$B$10)-1,AD590-E590))-BD590</f>
        <v>37</v>
      </c>
      <c r="BC590" s="95"/>
      <c r="BD590" s="2"/>
      <c r="BE590" s="2"/>
    </row>
    <row r="591" spans="2:57" ht="43.9" customHeight="1" x14ac:dyDescent="0.25">
      <c r="B591" s="100">
        <f t="shared" si="261"/>
        <v>573</v>
      </c>
      <c r="C591" s="293" t="s">
        <v>4151</v>
      </c>
      <c r="D591" s="312" t="s">
        <v>32</v>
      </c>
      <c r="E591" s="272">
        <v>44873</v>
      </c>
      <c r="F591" s="268" t="s">
        <v>4274</v>
      </c>
      <c r="G591" s="289" t="s">
        <v>4290</v>
      </c>
      <c r="H591" s="265" t="s">
        <v>4152</v>
      </c>
      <c r="I591" s="265"/>
      <c r="J591" s="289" t="s">
        <v>4153</v>
      </c>
      <c r="K591" s="342">
        <v>156215465</v>
      </c>
      <c r="L591" s="292"/>
      <c r="M591" s="277" t="s">
        <v>4154</v>
      </c>
      <c r="N591" s="302" t="s">
        <v>4263</v>
      </c>
      <c r="O591" s="277"/>
      <c r="P591" s="277"/>
      <c r="Q591" s="277"/>
      <c r="R591" s="277"/>
      <c r="S591" s="277"/>
      <c r="T591" s="111" t="s">
        <v>43</v>
      </c>
      <c r="U591" s="269" t="s">
        <v>312</v>
      </c>
      <c r="V591" s="290">
        <v>44874</v>
      </c>
      <c r="W591" s="303">
        <v>76</v>
      </c>
      <c r="X591" s="303">
        <v>75</v>
      </c>
      <c r="Y591" s="277"/>
      <c r="Z591" s="277" t="s">
        <v>168</v>
      </c>
      <c r="AA591" s="265" t="s">
        <v>169</v>
      </c>
      <c r="AB591" s="290">
        <v>44917</v>
      </c>
      <c r="AC591" s="304" t="s">
        <v>4155</v>
      </c>
      <c r="AD591" s="272">
        <v>44917</v>
      </c>
      <c r="AE591" s="272" t="s">
        <v>4264</v>
      </c>
      <c r="AF591" s="265" t="s">
        <v>4264</v>
      </c>
      <c r="AG591" s="306">
        <v>44</v>
      </c>
      <c r="AH591" s="307">
        <v>43</v>
      </c>
      <c r="AI591" s="265" t="s">
        <v>258</v>
      </c>
      <c r="AJ591" s="277"/>
      <c r="AK591" s="265" t="s">
        <v>4291</v>
      </c>
      <c r="AL591" s="290">
        <v>44902</v>
      </c>
      <c r="AM591" s="309">
        <v>154344785</v>
      </c>
      <c r="AN591" s="269" t="s">
        <v>4292</v>
      </c>
      <c r="AO591" s="277" t="s">
        <v>4293</v>
      </c>
      <c r="AP591" s="181">
        <f t="shared" si="297"/>
        <v>1870680</v>
      </c>
      <c r="AQ591" s="289"/>
      <c r="AR591" s="289"/>
      <c r="AS591" s="277"/>
      <c r="AT591" s="194"/>
      <c r="AU591" s="200"/>
      <c r="AV591" s="193"/>
      <c r="AW591" s="167"/>
      <c r="AX591" s="139"/>
      <c r="AY591" s="167">
        <f t="shared" si="298"/>
        <v>1.1974998762126401E-2</v>
      </c>
      <c r="AZ591" s="139">
        <f t="shared" si="263"/>
        <v>1</v>
      </c>
      <c r="BA591" s="139">
        <f t="shared" si="299"/>
        <v>1</v>
      </c>
      <c r="BB591" s="132">
        <f>IF(AA591="CONTRATADO",IF(BA591=1,NETWORKDAYS.INTL(E591,AD591,1,[1]FESTIVOS!$B$3:$B$10)-1,AD591-E591))-BD591</f>
        <v>32</v>
      </c>
      <c r="BC591" s="95"/>
      <c r="BD591" s="2"/>
      <c r="BE591" s="2"/>
    </row>
    <row r="592" spans="2:57" ht="43.9" customHeight="1" x14ac:dyDescent="0.25">
      <c r="B592" s="100">
        <f t="shared" si="261"/>
        <v>574</v>
      </c>
      <c r="C592" s="293" t="s">
        <v>4156</v>
      </c>
      <c r="D592" s="265" t="s">
        <v>28</v>
      </c>
      <c r="E592" s="272">
        <v>44873</v>
      </c>
      <c r="F592" s="268" t="s">
        <v>4274</v>
      </c>
      <c r="G592" s="289" t="s">
        <v>4076</v>
      </c>
      <c r="H592" s="265" t="s">
        <v>4157</v>
      </c>
      <c r="I592" s="265"/>
      <c r="J592" s="289" t="s">
        <v>4158</v>
      </c>
      <c r="K592" s="342">
        <v>0</v>
      </c>
      <c r="L592" s="289"/>
      <c r="M592" s="277"/>
      <c r="N592" s="302" t="str">
        <f t="shared" ref="N592:N600" si="300">MID(M592,5,3)</f>
        <v/>
      </c>
      <c r="O592" s="277"/>
      <c r="P592" s="277"/>
      <c r="Q592" s="277"/>
      <c r="R592" s="277"/>
      <c r="S592" s="277"/>
      <c r="T592" s="280" t="str">
        <f t="shared" ref="T592:T598" si="301">(IF(N592="IPU","INVITACION PUBLICA",(IF(N592="IP-","INVITACION PRIVADA"," "))))</f>
        <v xml:space="preserve"> </v>
      </c>
      <c r="U592" s="269" t="s">
        <v>187</v>
      </c>
      <c r="V592" s="290">
        <v>44874</v>
      </c>
      <c r="W592" s="303" t="e">
        <f t="shared" ref="W592:W600" si="302">+$D$4-E592</f>
        <v>#VALUE!</v>
      </c>
      <c r="X592" s="303" t="e">
        <f t="shared" ref="X592:X600" si="303">$D$4-V592</f>
        <v>#VALUE!</v>
      </c>
      <c r="Y592" s="277"/>
      <c r="Z592" s="289" t="s">
        <v>4066</v>
      </c>
      <c r="AA592" s="265" t="s">
        <v>215</v>
      </c>
      <c r="AB592" s="290">
        <v>44895</v>
      </c>
      <c r="AC592" s="304" t="s">
        <v>4159</v>
      </c>
      <c r="AD592" s="290">
        <v>44895</v>
      </c>
      <c r="AE592" s="277"/>
      <c r="AF592" s="265" t="str">
        <f t="shared" ref="AF592:AF600" si="304">+IF(AD592="","",TEXT(AD592,"mmm"))</f>
        <v>nov</v>
      </c>
      <c r="AG592" s="306">
        <f t="shared" ref="AG592:AG600" si="305">+AD592-E592</f>
        <v>22</v>
      </c>
      <c r="AH592" s="307">
        <f t="shared" ref="AH592:AH600" si="306">+AD592-V592</f>
        <v>21</v>
      </c>
      <c r="AI592" s="277"/>
      <c r="AJ592" s="277"/>
      <c r="AK592" s="277"/>
      <c r="AL592" s="277"/>
      <c r="AM592" s="309"/>
      <c r="AN592" s="269"/>
      <c r="AO592" s="277"/>
      <c r="AP592" s="309"/>
      <c r="AQ592" s="289"/>
      <c r="AR592" s="289"/>
      <c r="AS592" s="277"/>
      <c r="AT592" s="260"/>
      <c r="AU592" s="260"/>
      <c r="AV592" s="200"/>
      <c r="AW592" s="200"/>
      <c r="AX592" s="200"/>
      <c r="AY592" s="200"/>
      <c r="AZ592" s="139">
        <f t="shared" si="263"/>
        <v>1</v>
      </c>
      <c r="BA592" s="200"/>
      <c r="BB592" s="203"/>
      <c r="BC592" s="95"/>
      <c r="BD592" s="2"/>
      <c r="BE592" s="2"/>
    </row>
    <row r="593" spans="2:57" ht="43.9" customHeight="1" x14ac:dyDescent="0.25">
      <c r="B593" s="100">
        <f t="shared" si="261"/>
        <v>575</v>
      </c>
      <c r="C593" s="293" t="s">
        <v>4160</v>
      </c>
      <c r="D593" s="265" t="s">
        <v>28</v>
      </c>
      <c r="E593" s="272">
        <v>44873</v>
      </c>
      <c r="F593" s="268" t="s">
        <v>4274</v>
      </c>
      <c r="G593" s="289" t="s">
        <v>4076</v>
      </c>
      <c r="H593" s="265" t="s">
        <v>2101</v>
      </c>
      <c r="I593" s="265"/>
      <c r="J593" s="289" t="s">
        <v>4161</v>
      </c>
      <c r="K593" s="342">
        <v>0</v>
      </c>
      <c r="L593" s="289"/>
      <c r="M593" s="277"/>
      <c r="N593" s="302" t="str">
        <f t="shared" si="300"/>
        <v/>
      </c>
      <c r="O593" s="277"/>
      <c r="P593" s="277"/>
      <c r="Q593" s="277"/>
      <c r="R593" s="277"/>
      <c r="S593" s="277"/>
      <c r="T593" s="280" t="str">
        <f t="shared" si="301"/>
        <v xml:space="preserve"> </v>
      </c>
      <c r="U593" s="269" t="s">
        <v>187</v>
      </c>
      <c r="V593" s="290">
        <v>44874</v>
      </c>
      <c r="W593" s="303" t="e">
        <f t="shared" si="302"/>
        <v>#VALUE!</v>
      </c>
      <c r="X593" s="303" t="e">
        <f t="shared" si="303"/>
        <v>#VALUE!</v>
      </c>
      <c r="Y593" s="277"/>
      <c r="Z593" s="289" t="s">
        <v>4066</v>
      </c>
      <c r="AA593" s="265" t="s">
        <v>215</v>
      </c>
      <c r="AB593" s="290">
        <v>44895</v>
      </c>
      <c r="AC593" s="304" t="s">
        <v>4159</v>
      </c>
      <c r="AD593" s="290">
        <v>44895</v>
      </c>
      <c r="AE593" s="277"/>
      <c r="AF593" s="265" t="str">
        <f t="shared" si="304"/>
        <v>nov</v>
      </c>
      <c r="AG593" s="306">
        <f t="shared" si="305"/>
        <v>22</v>
      </c>
      <c r="AH593" s="307">
        <f t="shared" si="306"/>
        <v>21</v>
      </c>
      <c r="AI593" s="277"/>
      <c r="AJ593" s="277"/>
      <c r="AK593" s="277"/>
      <c r="AL593" s="277"/>
      <c r="AM593" s="309"/>
      <c r="AN593" s="269"/>
      <c r="AO593" s="277"/>
      <c r="AP593" s="309"/>
      <c r="AQ593" s="289"/>
      <c r="AR593" s="289"/>
      <c r="AS593" s="277"/>
      <c r="AT593" s="260"/>
      <c r="AU593" s="260"/>
      <c r="AV593" s="200"/>
      <c r="AW593" s="200"/>
      <c r="AX593" s="200"/>
      <c r="AY593" s="200"/>
      <c r="AZ593" s="139">
        <f t="shared" si="263"/>
        <v>1</v>
      </c>
      <c r="BA593" s="200"/>
      <c r="BB593" s="203"/>
      <c r="BC593" s="95"/>
      <c r="BD593" s="2"/>
      <c r="BE593" s="2"/>
    </row>
    <row r="594" spans="2:57" ht="43.9" customHeight="1" x14ac:dyDescent="0.25">
      <c r="B594" s="100">
        <f t="shared" si="261"/>
        <v>576</v>
      </c>
      <c r="C594" s="293" t="s">
        <v>4162</v>
      </c>
      <c r="D594" s="265" t="s">
        <v>28</v>
      </c>
      <c r="E594" s="272">
        <v>44873</v>
      </c>
      <c r="F594" s="268" t="s">
        <v>4274</v>
      </c>
      <c r="G594" s="289" t="s">
        <v>4076</v>
      </c>
      <c r="H594" s="265" t="s">
        <v>4163</v>
      </c>
      <c r="I594" s="265"/>
      <c r="J594" s="289" t="s">
        <v>4164</v>
      </c>
      <c r="K594" s="342">
        <v>0</v>
      </c>
      <c r="L594" s="289"/>
      <c r="M594" s="277"/>
      <c r="N594" s="302" t="str">
        <f t="shared" si="300"/>
        <v/>
      </c>
      <c r="O594" s="277"/>
      <c r="P594" s="277"/>
      <c r="Q594" s="277"/>
      <c r="R594" s="277"/>
      <c r="S594" s="277"/>
      <c r="T594" s="280" t="str">
        <f t="shared" si="301"/>
        <v xml:space="preserve"> </v>
      </c>
      <c r="U594" s="269" t="s">
        <v>187</v>
      </c>
      <c r="V594" s="290">
        <v>44874</v>
      </c>
      <c r="W594" s="303" t="e">
        <f t="shared" si="302"/>
        <v>#VALUE!</v>
      </c>
      <c r="X594" s="303" t="e">
        <f t="shared" si="303"/>
        <v>#VALUE!</v>
      </c>
      <c r="Y594" s="277"/>
      <c r="Z594" s="289" t="s">
        <v>4066</v>
      </c>
      <c r="AA594" s="265" t="s">
        <v>215</v>
      </c>
      <c r="AB594" s="290">
        <v>44895</v>
      </c>
      <c r="AC594" s="304" t="s">
        <v>4159</v>
      </c>
      <c r="AD594" s="290">
        <v>44895</v>
      </c>
      <c r="AE594" s="277"/>
      <c r="AF594" s="265" t="str">
        <f t="shared" si="304"/>
        <v>nov</v>
      </c>
      <c r="AG594" s="306">
        <f t="shared" si="305"/>
        <v>22</v>
      </c>
      <c r="AH594" s="307">
        <f t="shared" si="306"/>
        <v>21</v>
      </c>
      <c r="AI594" s="277"/>
      <c r="AJ594" s="277"/>
      <c r="AK594" s="277"/>
      <c r="AL594" s="277"/>
      <c r="AM594" s="309"/>
      <c r="AN594" s="269"/>
      <c r="AO594" s="277"/>
      <c r="AP594" s="309"/>
      <c r="AQ594" s="289"/>
      <c r="AR594" s="289"/>
      <c r="AS594" s="277"/>
      <c r="AT594" s="260"/>
      <c r="AU594" s="260"/>
      <c r="AV594" s="200"/>
      <c r="AW594" s="200"/>
      <c r="AX594" s="200"/>
      <c r="AY594" s="200"/>
      <c r="AZ594" s="139">
        <f t="shared" si="263"/>
        <v>1</v>
      </c>
      <c r="BA594" s="200"/>
      <c r="BB594" s="203"/>
      <c r="BC594" s="95"/>
      <c r="BD594" s="2"/>
      <c r="BE594" s="2"/>
    </row>
    <row r="595" spans="2:57" ht="43.9" customHeight="1" x14ac:dyDescent="0.25">
      <c r="B595" s="100">
        <f t="shared" si="261"/>
        <v>577</v>
      </c>
      <c r="C595" s="293" t="s">
        <v>4165</v>
      </c>
      <c r="D595" s="265" t="s">
        <v>28</v>
      </c>
      <c r="E595" s="272">
        <v>44873</v>
      </c>
      <c r="F595" s="268" t="s">
        <v>4274</v>
      </c>
      <c r="G595" s="289" t="s">
        <v>4076</v>
      </c>
      <c r="H595" s="265" t="s">
        <v>4166</v>
      </c>
      <c r="I595" s="265"/>
      <c r="J595" s="289" t="s">
        <v>4167</v>
      </c>
      <c r="K595" s="342">
        <v>0</v>
      </c>
      <c r="L595" s="289"/>
      <c r="M595" s="277"/>
      <c r="N595" s="302" t="str">
        <f t="shared" si="300"/>
        <v/>
      </c>
      <c r="O595" s="277"/>
      <c r="P595" s="277"/>
      <c r="Q595" s="277"/>
      <c r="R595" s="277"/>
      <c r="S595" s="277"/>
      <c r="T595" s="280" t="str">
        <f t="shared" si="301"/>
        <v xml:space="preserve"> </v>
      </c>
      <c r="U595" s="269" t="s">
        <v>187</v>
      </c>
      <c r="V595" s="290">
        <v>44874</v>
      </c>
      <c r="W595" s="303" t="e">
        <f t="shared" si="302"/>
        <v>#VALUE!</v>
      </c>
      <c r="X595" s="303" t="e">
        <f t="shared" si="303"/>
        <v>#VALUE!</v>
      </c>
      <c r="Y595" s="277"/>
      <c r="Z595" s="289" t="s">
        <v>4066</v>
      </c>
      <c r="AA595" s="265" t="s">
        <v>215</v>
      </c>
      <c r="AB595" s="290">
        <v>44895</v>
      </c>
      <c r="AC595" s="304" t="s">
        <v>4159</v>
      </c>
      <c r="AD595" s="290">
        <v>44895</v>
      </c>
      <c r="AE595" s="277"/>
      <c r="AF595" s="265" t="str">
        <f t="shared" si="304"/>
        <v>nov</v>
      </c>
      <c r="AG595" s="306">
        <f t="shared" si="305"/>
        <v>22</v>
      </c>
      <c r="AH595" s="307">
        <f t="shared" si="306"/>
        <v>21</v>
      </c>
      <c r="AI595" s="277"/>
      <c r="AJ595" s="277"/>
      <c r="AK595" s="277"/>
      <c r="AL595" s="277"/>
      <c r="AM595" s="309"/>
      <c r="AN595" s="269"/>
      <c r="AO595" s="277"/>
      <c r="AP595" s="309"/>
      <c r="AQ595" s="289"/>
      <c r="AR595" s="289"/>
      <c r="AS595" s="277"/>
      <c r="AT595" s="260"/>
      <c r="AU595" s="260"/>
      <c r="AV595" s="200"/>
      <c r="AW595" s="200"/>
      <c r="AX595" s="200"/>
      <c r="AY595" s="200"/>
      <c r="AZ595" s="139">
        <f t="shared" si="263"/>
        <v>1</v>
      </c>
      <c r="BA595" s="200"/>
      <c r="BB595" s="203"/>
      <c r="BC595" s="95"/>
      <c r="BD595" s="2"/>
      <c r="BE595" s="2"/>
    </row>
    <row r="596" spans="2:57" ht="43.9" customHeight="1" x14ac:dyDescent="0.25">
      <c r="B596" s="100">
        <f t="shared" ref="B596:B632" si="307">+B595+1</f>
        <v>578</v>
      </c>
      <c r="C596" s="293" t="s">
        <v>4168</v>
      </c>
      <c r="D596" s="265" t="s">
        <v>28</v>
      </c>
      <c r="E596" s="272">
        <v>44873</v>
      </c>
      <c r="F596" s="268" t="s">
        <v>4274</v>
      </c>
      <c r="G596" s="289" t="s">
        <v>4076</v>
      </c>
      <c r="H596" s="265" t="s">
        <v>4169</v>
      </c>
      <c r="I596" s="265"/>
      <c r="J596" s="289" t="s">
        <v>4170</v>
      </c>
      <c r="K596" s="342">
        <v>0</v>
      </c>
      <c r="L596" s="289"/>
      <c r="M596" s="277"/>
      <c r="N596" s="302" t="str">
        <f t="shared" si="300"/>
        <v/>
      </c>
      <c r="O596" s="277"/>
      <c r="P596" s="277"/>
      <c r="Q596" s="277"/>
      <c r="R596" s="277"/>
      <c r="S596" s="277"/>
      <c r="T596" s="280" t="str">
        <f t="shared" si="301"/>
        <v xml:space="preserve"> </v>
      </c>
      <c r="U596" s="269" t="s">
        <v>187</v>
      </c>
      <c r="V596" s="290">
        <v>44874</v>
      </c>
      <c r="W596" s="303" t="e">
        <f t="shared" si="302"/>
        <v>#VALUE!</v>
      </c>
      <c r="X596" s="303" t="e">
        <f t="shared" si="303"/>
        <v>#VALUE!</v>
      </c>
      <c r="Y596" s="277"/>
      <c r="Z596" s="289" t="s">
        <v>4066</v>
      </c>
      <c r="AA596" s="265" t="s">
        <v>215</v>
      </c>
      <c r="AB596" s="290">
        <v>44895</v>
      </c>
      <c r="AC596" s="304" t="s">
        <v>4159</v>
      </c>
      <c r="AD596" s="290">
        <v>44895</v>
      </c>
      <c r="AE596" s="277"/>
      <c r="AF596" s="265" t="str">
        <f t="shared" si="304"/>
        <v>nov</v>
      </c>
      <c r="AG596" s="306">
        <f t="shared" si="305"/>
        <v>22</v>
      </c>
      <c r="AH596" s="307">
        <f t="shared" si="306"/>
        <v>21</v>
      </c>
      <c r="AI596" s="277"/>
      <c r="AJ596" s="277"/>
      <c r="AK596" s="277"/>
      <c r="AL596" s="277"/>
      <c r="AM596" s="309"/>
      <c r="AN596" s="269"/>
      <c r="AO596" s="277"/>
      <c r="AP596" s="309"/>
      <c r="AQ596" s="289"/>
      <c r="AR596" s="289"/>
      <c r="AS596" s="277"/>
      <c r="AT596" s="260"/>
      <c r="AU596" s="260"/>
      <c r="AV596" s="200"/>
      <c r="AW596" s="200"/>
      <c r="AX596" s="200"/>
      <c r="AY596" s="200"/>
      <c r="AZ596" s="139">
        <f t="shared" si="263"/>
        <v>1</v>
      </c>
      <c r="BA596" s="200"/>
      <c r="BB596" s="203"/>
      <c r="BC596" s="95"/>
      <c r="BD596" s="2"/>
      <c r="BE596" s="2"/>
    </row>
    <row r="597" spans="2:57" ht="43.9" customHeight="1" x14ac:dyDescent="0.25">
      <c r="B597" s="100">
        <f t="shared" si="307"/>
        <v>579</v>
      </c>
      <c r="C597" s="293" t="s">
        <v>4171</v>
      </c>
      <c r="D597" s="265" t="s">
        <v>28</v>
      </c>
      <c r="E597" s="272">
        <v>44873</v>
      </c>
      <c r="F597" s="268" t="s">
        <v>4274</v>
      </c>
      <c r="G597" s="289" t="s">
        <v>4076</v>
      </c>
      <c r="H597" s="265" t="s">
        <v>4172</v>
      </c>
      <c r="I597" s="265"/>
      <c r="J597" s="289" t="s">
        <v>4173</v>
      </c>
      <c r="K597" s="342">
        <v>0</v>
      </c>
      <c r="L597" s="289"/>
      <c r="M597" s="277"/>
      <c r="N597" s="302" t="str">
        <f t="shared" si="300"/>
        <v/>
      </c>
      <c r="O597" s="277"/>
      <c r="P597" s="277"/>
      <c r="Q597" s="277"/>
      <c r="R597" s="277"/>
      <c r="S597" s="277"/>
      <c r="T597" s="280" t="str">
        <f t="shared" si="301"/>
        <v xml:space="preserve"> </v>
      </c>
      <c r="U597" s="269" t="s">
        <v>187</v>
      </c>
      <c r="V597" s="290">
        <v>44874</v>
      </c>
      <c r="W597" s="303" t="e">
        <f t="shared" si="302"/>
        <v>#VALUE!</v>
      </c>
      <c r="X597" s="303" t="e">
        <f t="shared" si="303"/>
        <v>#VALUE!</v>
      </c>
      <c r="Y597" s="277"/>
      <c r="Z597" s="289" t="s">
        <v>4066</v>
      </c>
      <c r="AA597" s="265" t="s">
        <v>215</v>
      </c>
      <c r="AB597" s="290">
        <v>44895</v>
      </c>
      <c r="AC597" s="304" t="s">
        <v>4159</v>
      </c>
      <c r="AD597" s="290">
        <v>44895</v>
      </c>
      <c r="AE597" s="277"/>
      <c r="AF597" s="265" t="str">
        <f t="shared" si="304"/>
        <v>nov</v>
      </c>
      <c r="AG597" s="306">
        <f t="shared" si="305"/>
        <v>22</v>
      </c>
      <c r="AH597" s="307">
        <f t="shared" si="306"/>
        <v>21</v>
      </c>
      <c r="AI597" s="277"/>
      <c r="AJ597" s="277"/>
      <c r="AK597" s="277"/>
      <c r="AL597" s="277"/>
      <c r="AM597" s="309"/>
      <c r="AN597" s="269"/>
      <c r="AO597" s="277"/>
      <c r="AP597" s="309"/>
      <c r="AQ597" s="289"/>
      <c r="AR597" s="289"/>
      <c r="AS597" s="277"/>
      <c r="AT597" s="260"/>
      <c r="AU597" s="260"/>
      <c r="AV597" s="200"/>
      <c r="AW597" s="200"/>
      <c r="AX597" s="200"/>
      <c r="AY597" s="200"/>
      <c r="AZ597" s="139">
        <f t="shared" si="263"/>
        <v>1</v>
      </c>
      <c r="BA597" s="200"/>
      <c r="BB597" s="203"/>
      <c r="BC597" s="95"/>
      <c r="BD597" s="2"/>
      <c r="BE597" s="2"/>
    </row>
    <row r="598" spans="2:57" ht="43.9" customHeight="1" x14ac:dyDescent="0.25">
      <c r="B598" s="100">
        <f t="shared" si="307"/>
        <v>580</v>
      </c>
      <c r="C598" s="293" t="s">
        <v>4174</v>
      </c>
      <c r="D598" s="265" t="s">
        <v>332</v>
      </c>
      <c r="E598" s="272">
        <v>44876</v>
      </c>
      <c r="F598" s="268" t="s">
        <v>4274</v>
      </c>
      <c r="G598" s="289" t="s">
        <v>4340</v>
      </c>
      <c r="H598" s="325" t="s">
        <v>4175</v>
      </c>
      <c r="I598" s="295" t="s">
        <v>458</v>
      </c>
      <c r="J598" s="297" t="s">
        <v>4176</v>
      </c>
      <c r="K598" s="342" t="s">
        <v>4341</v>
      </c>
      <c r="L598" s="297"/>
      <c r="M598" s="265" t="s">
        <v>146</v>
      </c>
      <c r="N598" s="302" t="str">
        <f t="shared" si="300"/>
        <v/>
      </c>
      <c r="O598" s="277"/>
      <c r="P598" s="277"/>
      <c r="Q598" s="277"/>
      <c r="R598" s="277"/>
      <c r="S598" s="277"/>
      <c r="T598" s="280" t="str">
        <f t="shared" si="301"/>
        <v xml:space="preserve"> </v>
      </c>
      <c r="U598" s="269" t="s">
        <v>42</v>
      </c>
      <c r="V598" s="290">
        <v>44876</v>
      </c>
      <c r="W598" s="303" t="e">
        <f t="shared" si="302"/>
        <v>#VALUE!</v>
      </c>
      <c r="X598" s="303" t="e">
        <f t="shared" si="303"/>
        <v>#VALUE!</v>
      </c>
      <c r="Y598" s="277"/>
      <c r="Z598" s="277" t="s">
        <v>152</v>
      </c>
      <c r="AA598" s="265" t="s">
        <v>153</v>
      </c>
      <c r="AB598" s="272">
        <v>44911</v>
      </c>
      <c r="AC598" s="304" t="s">
        <v>4342</v>
      </c>
      <c r="AD598" s="290">
        <v>44911</v>
      </c>
      <c r="AE598" s="277"/>
      <c r="AF598" s="265" t="str">
        <f t="shared" si="304"/>
        <v>dic</v>
      </c>
      <c r="AG598" s="306">
        <f t="shared" si="305"/>
        <v>35</v>
      </c>
      <c r="AH598" s="307">
        <f t="shared" si="306"/>
        <v>35</v>
      </c>
      <c r="AI598" s="277"/>
      <c r="AJ598" s="277"/>
      <c r="AK598" s="277"/>
      <c r="AL598" s="277"/>
      <c r="AM598" s="277"/>
      <c r="AN598" s="309"/>
      <c r="AO598" s="289"/>
      <c r="AP598" s="277"/>
      <c r="AQ598" s="309"/>
      <c r="AR598" s="289"/>
      <c r="AS598" s="289"/>
      <c r="AT598" s="277"/>
      <c r="AU598" s="260"/>
      <c r="AV598" s="260"/>
      <c r="AW598" s="200"/>
      <c r="AX598" s="200"/>
      <c r="AY598" s="200"/>
      <c r="AZ598" s="139">
        <f t="shared" ref="AZ598:AZ632" si="308">IF(D598="GUENAA",1,IF(D598="GUENE",1,IF(D598="GUENT",1,0)))</f>
        <v>0</v>
      </c>
      <c r="BA598" s="200"/>
      <c r="BB598" s="200"/>
      <c r="BC598" s="3"/>
      <c r="BD598" s="95"/>
      <c r="BE598" s="2"/>
    </row>
    <row r="599" spans="2:57" ht="43.9" customHeight="1" x14ac:dyDescent="0.25">
      <c r="B599" s="100">
        <f t="shared" si="307"/>
        <v>581</v>
      </c>
      <c r="C599" s="293" t="s">
        <v>4052</v>
      </c>
      <c r="D599" s="265" t="s">
        <v>1559</v>
      </c>
      <c r="E599" s="272">
        <v>44881</v>
      </c>
      <c r="F599" s="268" t="s">
        <v>4274</v>
      </c>
      <c r="G599" s="297" t="s">
        <v>3642</v>
      </c>
      <c r="H599" s="325" t="s">
        <v>3643</v>
      </c>
      <c r="I599" s="265"/>
      <c r="J599" s="297" t="s">
        <v>4053</v>
      </c>
      <c r="K599" s="342" t="s">
        <v>4054</v>
      </c>
      <c r="L599" s="297"/>
      <c r="M599" s="277" t="s">
        <v>4055</v>
      </c>
      <c r="N599" s="302" t="str">
        <f t="shared" si="300"/>
        <v>IP-</v>
      </c>
      <c r="O599" s="277"/>
      <c r="P599" s="277"/>
      <c r="Q599" s="277"/>
      <c r="R599" s="277"/>
      <c r="S599" s="277"/>
      <c r="T599" s="111" t="s">
        <v>43</v>
      </c>
      <c r="U599" s="269" t="s">
        <v>4036</v>
      </c>
      <c r="V599" s="290">
        <v>44881</v>
      </c>
      <c r="W599" s="303" t="e">
        <f t="shared" si="302"/>
        <v>#VALUE!</v>
      </c>
      <c r="X599" s="303" t="e">
        <f t="shared" si="303"/>
        <v>#VALUE!</v>
      </c>
      <c r="Y599" s="277"/>
      <c r="Z599" s="277" t="s">
        <v>214</v>
      </c>
      <c r="AA599" s="265" t="s">
        <v>215</v>
      </c>
      <c r="AB599" s="290">
        <v>44895</v>
      </c>
      <c r="AC599" s="304" t="s">
        <v>4056</v>
      </c>
      <c r="AD599" s="290">
        <v>44895</v>
      </c>
      <c r="AE599" s="277"/>
      <c r="AF599" s="265" t="str">
        <f t="shared" si="304"/>
        <v>nov</v>
      </c>
      <c r="AG599" s="306">
        <f t="shared" si="305"/>
        <v>14</v>
      </c>
      <c r="AH599" s="307">
        <f t="shared" si="306"/>
        <v>14</v>
      </c>
      <c r="AI599" s="277"/>
      <c r="AJ599" s="277"/>
      <c r="AK599" s="277"/>
      <c r="AL599" s="277"/>
      <c r="AM599" s="309"/>
      <c r="AN599" s="269"/>
      <c r="AO599" s="277"/>
      <c r="AP599" s="309"/>
      <c r="AQ599" s="289"/>
      <c r="AR599" s="289"/>
      <c r="AS599" s="277"/>
      <c r="AT599" s="260"/>
      <c r="AU599" s="260"/>
      <c r="AV599" s="200"/>
      <c r="AW599" s="200"/>
      <c r="AX599" s="200"/>
      <c r="AY599" s="200"/>
      <c r="AZ599" s="139">
        <f t="shared" si="308"/>
        <v>0</v>
      </c>
      <c r="BA599" s="200"/>
      <c r="BB599" s="203"/>
      <c r="BC599" s="95"/>
      <c r="BD599" s="2"/>
      <c r="BE599" s="2"/>
    </row>
    <row r="600" spans="2:57" ht="43.9" customHeight="1" x14ac:dyDescent="0.25">
      <c r="B600" s="100">
        <f t="shared" si="307"/>
        <v>582</v>
      </c>
      <c r="C600" s="293" t="s">
        <v>4057</v>
      </c>
      <c r="D600" s="265" t="s">
        <v>1559</v>
      </c>
      <c r="E600" s="272">
        <v>44881</v>
      </c>
      <c r="F600" s="268" t="s">
        <v>4274</v>
      </c>
      <c r="G600" s="297" t="s">
        <v>3356</v>
      </c>
      <c r="H600" s="325" t="s">
        <v>3357</v>
      </c>
      <c r="I600" s="265"/>
      <c r="J600" s="297" t="s">
        <v>4058</v>
      </c>
      <c r="K600" s="342" t="s">
        <v>4059</v>
      </c>
      <c r="L600" s="297"/>
      <c r="M600" s="277"/>
      <c r="N600" s="302" t="str">
        <f t="shared" si="300"/>
        <v/>
      </c>
      <c r="O600" s="277"/>
      <c r="P600" s="277"/>
      <c r="Q600" s="277"/>
      <c r="R600" s="277"/>
      <c r="S600" s="277"/>
      <c r="T600" s="280" t="str">
        <f>(IF(N600="IPU","INVITACION PUBLICA",(IF(N600="IP-","INVITACION PRIVADA"," "))))</f>
        <v xml:space="preserve"> </v>
      </c>
      <c r="U600" s="269" t="s">
        <v>4012</v>
      </c>
      <c r="V600" s="290">
        <v>44881</v>
      </c>
      <c r="W600" s="303" t="e">
        <f t="shared" si="302"/>
        <v>#VALUE!</v>
      </c>
      <c r="X600" s="303" t="e">
        <f t="shared" si="303"/>
        <v>#VALUE!</v>
      </c>
      <c r="Y600" s="277"/>
      <c r="Z600" s="277" t="s">
        <v>214</v>
      </c>
      <c r="AA600" s="265" t="s">
        <v>215</v>
      </c>
      <c r="AB600" s="290">
        <v>44895</v>
      </c>
      <c r="AC600" s="304"/>
      <c r="AD600" s="290">
        <v>44895</v>
      </c>
      <c r="AE600" s="277"/>
      <c r="AF600" s="265" t="str">
        <f t="shared" si="304"/>
        <v>nov</v>
      </c>
      <c r="AG600" s="306">
        <f t="shared" si="305"/>
        <v>14</v>
      </c>
      <c r="AH600" s="307">
        <f t="shared" si="306"/>
        <v>14</v>
      </c>
      <c r="AI600" s="277"/>
      <c r="AJ600" s="277"/>
      <c r="AK600" s="277"/>
      <c r="AL600" s="277"/>
      <c r="AM600" s="309"/>
      <c r="AN600" s="269"/>
      <c r="AO600" s="277"/>
      <c r="AP600" s="309"/>
      <c r="AQ600" s="289"/>
      <c r="AR600" s="289"/>
      <c r="AS600" s="277"/>
      <c r="AT600" s="260"/>
      <c r="AU600" s="260"/>
      <c r="AV600" s="200"/>
      <c r="AW600" s="200"/>
      <c r="AX600" s="200"/>
      <c r="AY600" s="200"/>
      <c r="AZ600" s="139">
        <f t="shared" si="308"/>
        <v>0</v>
      </c>
      <c r="BA600" s="200"/>
      <c r="BB600" s="203"/>
      <c r="BC600" s="95"/>
      <c r="BD600" s="2"/>
      <c r="BE600" s="2"/>
    </row>
    <row r="601" spans="2:57" ht="43.9" customHeight="1" x14ac:dyDescent="0.25">
      <c r="B601" s="100">
        <f t="shared" si="307"/>
        <v>583</v>
      </c>
      <c r="C601" s="265" t="s">
        <v>4177</v>
      </c>
      <c r="D601" s="265" t="s">
        <v>332</v>
      </c>
      <c r="E601" s="272">
        <v>44883</v>
      </c>
      <c r="F601" s="268" t="s">
        <v>4274</v>
      </c>
      <c r="G601" s="289" t="s">
        <v>4178</v>
      </c>
      <c r="H601" s="294" t="s">
        <v>4179</v>
      </c>
      <c r="I601" s="265"/>
      <c r="J601" s="289" t="s">
        <v>4180</v>
      </c>
      <c r="K601" s="342">
        <v>4311570</v>
      </c>
      <c r="L601" s="292"/>
      <c r="M601" s="277" t="s">
        <v>4181</v>
      </c>
      <c r="N601" s="302" t="s">
        <v>4263</v>
      </c>
      <c r="O601" s="277"/>
      <c r="P601" s="277"/>
      <c r="Q601" s="277"/>
      <c r="R601" s="277"/>
      <c r="S601" s="277"/>
      <c r="T601" s="111" t="s">
        <v>43</v>
      </c>
      <c r="U601" s="269" t="s">
        <v>921</v>
      </c>
      <c r="V601" s="290">
        <v>44883</v>
      </c>
      <c r="W601" s="277">
        <v>66</v>
      </c>
      <c r="X601" s="277">
        <v>66</v>
      </c>
      <c r="Y601" s="277"/>
      <c r="Z601" s="277" t="s">
        <v>168</v>
      </c>
      <c r="AA601" s="265" t="s">
        <v>169</v>
      </c>
      <c r="AB601" s="290">
        <v>44923</v>
      </c>
      <c r="AC601" s="304"/>
      <c r="AD601" s="272">
        <v>44923</v>
      </c>
      <c r="AE601" s="272" t="s">
        <v>4264</v>
      </c>
      <c r="AF601" s="265" t="s">
        <v>4264</v>
      </c>
      <c r="AG601" s="306">
        <v>40</v>
      </c>
      <c r="AH601" s="307">
        <v>40</v>
      </c>
      <c r="AI601" s="265" t="s">
        <v>258</v>
      </c>
      <c r="AJ601" s="277"/>
      <c r="AK601" s="265" t="s">
        <v>4294</v>
      </c>
      <c r="AL601" s="290">
        <v>44911</v>
      </c>
      <c r="AM601" s="309">
        <v>3891300</v>
      </c>
      <c r="AN601" s="269" t="s">
        <v>4295</v>
      </c>
      <c r="AO601" s="277" t="s">
        <v>4296</v>
      </c>
      <c r="AP601" s="181">
        <f t="shared" ref="AP601" si="309">+K601-AM601</f>
        <v>420270</v>
      </c>
      <c r="AQ601" s="289"/>
      <c r="AR601" s="289"/>
      <c r="AS601" s="277"/>
      <c r="AT601" s="194"/>
      <c r="AU601" s="200"/>
      <c r="AV601" s="193"/>
      <c r="AW601" s="167"/>
      <c r="AX601" s="139"/>
      <c r="AY601" s="167">
        <f>+AP601/K601</f>
        <v>9.747493372483805E-2</v>
      </c>
      <c r="AZ601" s="139">
        <f t="shared" si="308"/>
        <v>0</v>
      </c>
      <c r="BA601" s="139">
        <f>IF(T601="Invitación Privada",1,IF(T601="Invitación Pública",2,0))</f>
        <v>1</v>
      </c>
      <c r="BB601" s="132">
        <f>IF(AA601="CONTRATADO",IF(BA601=1,NETWORKDAYS.INTL(E601,AD601,1,[1]FESTIVOS!$B$3:$B$10)-1,AD601-E601))-BD601</f>
        <v>28</v>
      </c>
      <c r="BC601" s="95"/>
      <c r="BD601" s="2"/>
      <c r="BE601" s="2"/>
    </row>
    <row r="602" spans="2:57" ht="43.9" customHeight="1" x14ac:dyDescent="0.25">
      <c r="B602" s="100">
        <f t="shared" si="307"/>
        <v>584</v>
      </c>
      <c r="C602" s="293" t="s">
        <v>4182</v>
      </c>
      <c r="D602" s="265" t="s">
        <v>28</v>
      </c>
      <c r="E602" s="272">
        <v>44886</v>
      </c>
      <c r="F602" s="268" t="s">
        <v>4274</v>
      </c>
      <c r="G602" s="289" t="s">
        <v>4183</v>
      </c>
      <c r="H602" s="294" t="s">
        <v>4184</v>
      </c>
      <c r="I602" s="265"/>
      <c r="J602" s="289" t="s">
        <v>4185</v>
      </c>
      <c r="K602" s="342">
        <v>2990000000</v>
      </c>
      <c r="L602" s="292"/>
      <c r="M602" s="277"/>
      <c r="N602" s="302" t="str">
        <f>MID(M602,5,3)</f>
        <v/>
      </c>
      <c r="O602" s="277"/>
      <c r="P602" s="277"/>
      <c r="Q602" s="277"/>
      <c r="R602" s="277"/>
      <c r="S602" s="277"/>
      <c r="T602" s="280" t="str">
        <f>(IF(N602="IPU","INVITACION PUBLICA",(IF(N602="IP-","INVITACION PRIVADA"," "))))</f>
        <v xml:space="preserve"> </v>
      </c>
      <c r="U602" s="269" t="s">
        <v>187</v>
      </c>
      <c r="V602" s="290">
        <v>44886</v>
      </c>
      <c r="W602" s="277" t="e">
        <f>+$D$4-E602</f>
        <v>#VALUE!</v>
      </c>
      <c r="X602" s="277" t="e">
        <f>$D$4-V602</f>
        <v>#VALUE!</v>
      </c>
      <c r="Y602" s="277"/>
      <c r="Z602" s="277" t="s">
        <v>4066</v>
      </c>
      <c r="AA602" s="265" t="s">
        <v>215</v>
      </c>
      <c r="AB602" s="290">
        <v>44895</v>
      </c>
      <c r="AC602" s="304"/>
      <c r="AD602" s="290">
        <v>44895</v>
      </c>
      <c r="AE602" s="277"/>
      <c r="AF602" s="265" t="str">
        <f>+IF(AD602="","",TEXT(AD602,"mmm"))</f>
        <v>nov</v>
      </c>
      <c r="AG602" s="306">
        <f>+AD602-E602</f>
        <v>9</v>
      </c>
      <c r="AH602" s="307">
        <f>+AD602-V602</f>
        <v>9</v>
      </c>
      <c r="AI602" s="277"/>
      <c r="AJ602" s="277"/>
      <c r="AK602" s="277"/>
      <c r="AL602" s="277"/>
      <c r="AM602" s="309"/>
      <c r="AN602" s="269"/>
      <c r="AO602" s="277"/>
      <c r="AP602" s="309"/>
      <c r="AQ602" s="289"/>
      <c r="AR602" s="289"/>
      <c r="AS602" s="277"/>
      <c r="AT602" s="260"/>
      <c r="AU602" s="260"/>
      <c r="AV602" s="200"/>
      <c r="AW602" s="200"/>
      <c r="AX602" s="200"/>
      <c r="AY602" s="200"/>
      <c r="AZ602" s="139">
        <f t="shared" si="308"/>
        <v>1</v>
      </c>
      <c r="BA602" s="200"/>
      <c r="BB602" s="203"/>
      <c r="BC602" s="95"/>
      <c r="BD602" s="2"/>
      <c r="BE602" s="2"/>
    </row>
    <row r="603" spans="2:57" ht="43.9" customHeight="1" x14ac:dyDescent="0.25">
      <c r="B603" s="100">
        <f t="shared" si="307"/>
        <v>585</v>
      </c>
      <c r="C603" s="265" t="s">
        <v>4186</v>
      </c>
      <c r="D603" s="265" t="s">
        <v>28</v>
      </c>
      <c r="E603" s="272">
        <v>44886</v>
      </c>
      <c r="F603" s="268" t="s">
        <v>4274</v>
      </c>
      <c r="G603" s="289" t="s">
        <v>4187</v>
      </c>
      <c r="H603" s="294" t="s">
        <v>4188</v>
      </c>
      <c r="I603" s="265"/>
      <c r="J603" s="289" t="s">
        <v>4189</v>
      </c>
      <c r="K603" s="342">
        <v>492050342</v>
      </c>
      <c r="L603" s="316"/>
      <c r="M603" s="277" t="s">
        <v>4190</v>
      </c>
      <c r="N603" s="302" t="s">
        <v>4263</v>
      </c>
      <c r="O603" s="277"/>
      <c r="P603" s="277"/>
      <c r="Q603" s="277"/>
      <c r="R603" s="277"/>
      <c r="S603" s="277"/>
      <c r="T603" s="111" t="s">
        <v>43</v>
      </c>
      <c r="U603" s="269" t="s">
        <v>452</v>
      </c>
      <c r="V603" s="290">
        <v>44886</v>
      </c>
      <c r="W603" s="265">
        <v>63</v>
      </c>
      <c r="X603" s="265">
        <v>63</v>
      </c>
      <c r="Y603" s="277"/>
      <c r="Z603" s="277" t="s">
        <v>168</v>
      </c>
      <c r="AA603" s="265" t="s">
        <v>169</v>
      </c>
      <c r="AB603" s="290">
        <v>44917</v>
      </c>
      <c r="AC603" s="304" t="s">
        <v>4191</v>
      </c>
      <c r="AD603" s="272">
        <v>44916</v>
      </c>
      <c r="AE603" s="272" t="s">
        <v>4264</v>
      </c>
      <c r="AF603" s="265" t="s">
        <v>4264</v>
      </c>
      <c r="AG603" s="306">
        <v>30</v>
      </c>
      <c r="AH603" s="307">
        <v>30</v>
      </c>
      <c r="AI603" s="265" t="s">
        <v>258</v>
      </c>
      <c r="AJ603" s="277"/>
      <c r="AK603" s="265" t="s">
        <v>4297</v>
      </c>
      <c r="AL603" s="290">
        <v>44911</v>
      </c>
      <c r="AM603" s="309">
        <v>455773714</v>
      </c>
      <c r="AN603" s="269" t="s">
        <v>4298</v>
      </c>
      <c r="AO603" s="277" t="s">
        <v>4299</v>
      </c>
      <c r="AP603" s="181">
        <f t="shared" ref="AP603" si="310">+K603-AM603</f>
        <v>36276628</v>
      </c>
      <c r="AQ603" s="289"/>
      <c r="AR603" s="289"/>
      <c r="AS603" s="277"/>
      <c r="AT603" s="194"/>
      <c r="AU603" s="200"/>
      <c r="AV603" s="193"/>
      <c r="AW603" s="167"/>
      <c r="AX603" s="139"/>
      <c r="AY603" s="167">
        <f>+AP603/K603</f>
        <v>7.3725440068894407E-2</v>
      </c>
      <c r="AZ603" s="139">
        <f t="shared" si="308"/>
        <v>1</v>
      </c>
      <c r="BA603" s="139">
        <f>IF(T603="Invitación Privada",1,IF(T603="Invitación Pública",2,0))</f>
        <v>1</v>
      </c>
      <c r="BB603" s="132">
        <f>IF(AA603="CONTRATADO",IF(BA603=1,NETWORKDAYS.INTL(E603,AD603,1,[1]FESTIVOS!$B$3:$B$10)-1,AD603-E603))-BD603</f>
        <v>22</v>
      </c>
      <c r="BC603" s="95"/>
      <c r="BD603" s="2"/>
      <c r="BE603" s="2"/>
    </row>
    <row r="604" spans="2:57" ht="43.9" customHeight="1" x14ac:dyDescent="0.25">
      <c r="B604" s="100">
        <f t="shared" si="307"/>
        <v>586</v>
      </c>
      <c r="C604" s="293" t="s">
        <v>4192</v>
      </c>
      <c r="D604" s="265" t="s">
        <v>28</v>
      </c>
      <c r="E604" s="272">
        <v>44886</v>
      </c>
      <c r="F604" s="268" t="s">
        <v>4274</v>
      </c>
      <c r="G604" s="289" t="s">
        <v>4193</v>
      </c>
      <c r="H604" s="294" t="s">
        <v>4194</v>
      </c>
      <c r="I604" s="265" t="s">
        <v>226</v>
      </c>
      <c r="J604" s="289" t="s">
        <v>4195</v>
      </c>
      <c r="K604" s="342">
        <v>449808029</v>
      </c>
      <c r="L604" s="316"/>
      <c r="M604" s="277" t="s">
        <v>146</v>
      </c>
      <c r="N604" s="302" t="str">
        <f t="shared" ref="N604:N613" si="311">MID(M604,5,3)</f>
        <v/>
      </c>
      <c r="O604" s="277"/>
      <c r="P604" s="277"/>
      <c r="Q604" s="277"/>
      <c r="R604" s="277"/>
      <c r="S604" s="277"/>
      <c r="T604" s="280" t="str">
        <f>(IF(N604="IPU","INVITACION PUBLICA",(IF(N604="IP-","INVITACION PRIVADA"," "))))</f>
        <v xml:space="preserve"> </v>
      </c>
      <c r="U604" s="269" t="s">
        <v>256</v>
      </c>
      <c r="V604" s="290">
        <v>44886</v>
      </c>
      <c r="W604" s="277" t="e">
        <f t="shared" ref="W604:W613" si="312">+$D$4-E604</f>
        <v>#VALUE!</v>
      </c>
      <c r="X604" s="277" t="e">
        <f t="shared" ref="X604:X613" si="313">$D$4-V604</f>
        <v>#VALUE!</v>
      </c>
      <c r="Y604" s="277"/>
      <c r="Z604" s="277" t="s">
        <v>152</v>
      </c>
      <c r="AA604" s="265" t="s">
        <v>153</v>
      </c>
      <c r="AB604" s="290">
        <v>44918</v>
      </c>
      <c r="AC604" s="304" t="s">
        <v>4343</v>
      </c>
      <c r="AD604" s="290">
        <v>44917</v>
      </c>
      <c r="AE604" s="277"/>
      <c r="AF604" s="265" t="str">
        <f t="shared" ref="AF604:AF613" si="314">+IF(AD604="","",TEXT(AD604,"mmm"))</f>
        <v>dic</v>
      </c>
      <c r="AG604" s="306">
        <f t="shared" ref="AG604:AG613" si="315">+AD604-E604</f>
        <v>31</v>
      </c>
      <c r="AH604" s="307">
        <f t="shared" ref="AH604:AH613" si="316">+AD604-V604</f>
        <v>31</v>
      </c>
      <c r="AI604" s="277"/>
      <c r="AJ604" s="277"/>
      <c r="AK604" s="277"/>
      <c r="AL604" s="277"/>
      <c r="AM604" s="277"/>
      <c r="AN604" s="309"/>
      <c r="AO604" s="289"/>
      <c r="AP604" s="277"/>
      <c r="AQ604" s="309"/>
      <c r="AR604" s="289"/>
      <c r="AS604" s="289"/>
      <c r="AT604" s="277"/>
      <c r="AU604" s="260"/>
      <c r="AV604" s="260"/>
      <c r="AW604" s="200"/>
      <c r="AX604" s="200"/>
      <c r="AY604" s="200"/>
      <c r="AZ604" s="139">
        <f t="shared" si="308"/>
        <v>1</v>
      </c>
      <c r="BA604" s="200"/>
      <c r="BB604" s="200"/>
      <c r="BC604" s="3"/>
      <c r="BD604" s="95"/>
      <c r="BE604" s="2"/>
    </row>
    <row r="605" spans="2:57" ht="43.9" customHeight="1" x14ac:dyDescent="0.25">
      <c r="B605" s="100">
        <f t="shared" si="307"/>
        <v>587</v>
      </c>
      <c r="C605" s="293" t="s">
        <v>4060</v>
      </c>
      <c r="D605" s="265" t="s">
        <v>2139</v>
      </c>
      <c r="E605" s="272">
        <v>44888</v>
      </c>
      <c r="F605" s="268" t="s">
        <v>4274</v>
      </c>
      <c r="G605" s="289" t="s">
        <v>4049</v>
      </c>
      <c r="H605" s="294" t="s">
        <v>4061</v>
      </c>
      <c r="I605" s="265"/>
      <c r="J605" s="289" t="s">
        <v>4062</v>
      </c>
      <c r="K605" s="342">
        <v>3521229000</v>
      </c>
      <c r="L605" s="316"/>
      <c r="M605" s="277"/>
      <c r="N605" s="302" t="str">
        <f t="shared" si="311"/>
        <v/>
      </c>
      <c r="O605" s="277"/>
      <c r="P605" s="277"/>
      <c r="Q605" s="277"/>
      <c r="R605" s="277"/>
      <c r="S605" s="277"/>
      <c r="T605" s="280" t="str">
        <f>(IF(N605="IPU","INVITACION PUBLICA",(IF(N605="IP-","INVITACION PRIVADA"," "))))</f>
        <v xml:space="preserve"> </v>
      </c>
      <c r="U605" s="269" t="s">
        <v>4012</v>
      </c>
      <c r="V605" s="290">
        <v>44888</v>
      </c>
      <c r="W605" s="277" t="e">
        <f t="shared" si="312"/>
        <v>#VALUE!</v>
      </c>
      <c r="X605" s="277" t="e">
        <f t="shared" si="313"/>
        <v>#VALUE!</v>
      </c>
      <c r="Y605" s="277"/>
      <c r="Z605" s="277" t="s">
        <v>214</v>
      </c>
      <c r="AA605" s="265" t="s">
        <v>215</v>
      </c>
      <c r="AB605" s="290">
        <v>44895</v>
      </c>
      <c r="AC605" s="304" t="s">
        <v>4063</v>
      </c>
      <c r="AD605" s="290">
        <v>44895</v>
      </c>
      <c r="AE605" s="277"/>
      <c r="AF605" s="265" t="str">
        <f t="shared" si="314"/>
        <v>nov</v>
      </c>
      <c r="AG605" s="306">
        <f t="shared" si="315"/>
        <v>7</v>
      </c>
      <c r="AH605" s="307">
        <f t="shared" si="316"/>
        <v>7</v>
      </c>
      <c r="AI605" s="277"/>
      <c r="AJ605" s="277"/>
      <c r="AK605" s="277"/>
      <c r="AL605" s="277"/>
      <c r="AM605" s="309"/>
      <c r="AN605" s="269"/>
      <c r="AO605" s="277"/>
      <c r="AP605" s="309"/>
      <c r="AQ605" s="289"/>
      <c r="AR605" s="289"/>
      <c r="AS605" s="277"/>
      <c r="AT605" s="260"/>
      <c r="AU605" s="260"/>
      <c r="AV605" s="200"/>
      <c r="AW605" s="200"/>
      <c r="AX605" s="200"/>
      <c r="AY605" s="200"/>
      <c r="AZ605" s="139">
        <f t="shared" si="308"/>
        <v>0</v>
      </c>
      <c r="BA605" s="200"/>
      <c r="BB605" s="203"/>
      <c r="BC605" s="95"/>
      <c r="BD605" s="2"/>
      <c r="BE605" s="2"/>
    </row>
    <row r="606" spans="2:57" ht="43.9" customHeight="1" x14ac:dyDescent="0.25">
      <c r="B606" s="100">
        <f t="shared" si="307"/>
        <v>588</v>
      </c>
      <c r="C606" s="293" t="s">
        <v>4196</v>
      </c>
      <c r="D606" s="265" t="s">
        <v>332</v>
      </c>
      <c r="E606" s="272">
        <v>44890</v>
      </c>
      <c r="F606" s="268" t="s">
        <v>4274</v>
      </c>
      <c r="G606" s="289" t="s">
        <v>4197</v>
      </c>
      <c r="H606" s="265" t="s">
        <v>4198</v>
      </c>
      <c r="I606" s="265"/>
      <c r="J606" s="289" t="s">
        <v>4199</v>
      </c>
      <c r="K606" s="342">
        <v>10796018522</v>
      </c>
      <c r="L606" s="292"/>
      <c r="M606" s="277" t="s">
        <v>4200</v>
      </c>
      <c r="N606" s="302" t="str">
        <f t="shared" si="311"/>
        <v>IP-</v>
      </c>
      <c r="O606" s="277"/>
      <c r="P606" s="277"/>
      <c r="Q606" s="277"/>
      <c r="R606" s="277"/>
      <c r="S606" s="277"/>
      <c r="T606" s="111" t="s">
        <v>43</v>
      </c>
      <c r="U606" s="269" t="s">
        <v>312</v>
      </c>
      <c r="V606" s="290">
        <v>44890</v>
      </c>
      <c r="W606" s="277" t="e">
        <f t="shared" si="312"/>
        <v>#VALUE!</v>
      </c>
      <c r="X606" s="277" t="e">
        <f t="shared" si="313"/>
        <v>#VALUE!</v>
      </c>
      <c r="Y606" s="277"/>
      <c r="Z606" s="277" t="s">
        <v>214</v>
      </c>
      <c r="AA606" s="265" t="s">
        <v>215</v>
      </c>
      <c r="AB606" s="290">
        <v>44925</v>
      </c>
      <c r="AC606" s="304" t="s">
        <v>4366</v>
      </c>
      <c r="AD606" s="290">
        <v>44917</v>
      </c>
      <c r="AE606" s="277"/>
      <c r="AF606" s="265" t="str">
        <f t="shared" si="314"/>
        <v>dic</v>
      </c>
      <c r="AG606" s="306">
        <f t="shared" si="315"/>
        <v>27</v>
      </c>
      <c r="AH606" s="307">
        <f t="shared" si="316"/>
        <v>27</v>
      </c>
      <c r="AI606" s="277"/>
      <c r="AJ606" s="277"/>
      <c r="AK606" s="277"/>
      <c r="AL606" s="277"/>
      <c r="AM606" s="309"/>
      <c r="AN606" s="269"/>
      <c r="AO606" s="277"/>
      <c r="AP606" s="309"/>
      <c r="AQ606" s="289"/>
      <c r="AR606" s="289"/>
      <c r="AS606" s="277"/>
      <c r="AT606" s="260"/>
      <c r="AU606" s="260"/>
      <c r="AV606" s="200"/>
      <c r="AW606" s="200"/>
      <c r="AX606" s="200"/>
      <c r="AY606" s="200"/>
      <c r="AZ606" s="139">
        <f t="shared" si="308"/>
        <v>0</v>
      </c>
      <c r="BA606" s="200"/>
      <c r="BB606" s="203"/>
      <c r="BC606" s="95"/>
      <c r="BD606" s="2"/>
      <c r="BE606" s="2"/>
    </row>
    <row r="607" spans="2:57" ht="43.9" customHeight="1" x14ac:dyDescent="0.25">
      <c r="B607" s="100">
        <f t="shared" si="307"/>
        <v>589</v>
      </c>
      <c r="C607" s="293" t="s">
        <v>223</v>
      </c>
      <c r="D607" s="312" t="s">
        <v>32</v>
      </c>
      <c r="E607" s="272">
        <v>44888</v>
      </c>
      <c r="F607" s="268" t="s">
        <v>4274</v>
      </c>
      <c r="G607" s="289" t="s">
        <v>4201</v>
      </c>
      <c r="H607" s="265" t="s">
        <v>4202</v>
      </c>
      <c r="I607" s="265"/>
      <c r="J607" s="289" t="s">
        <v>4203</v>
      </c>
      <c r="K607" s="342">
        <v>1116220</v>
      </c>
      <c r="L607" s="292"/>
      <c r="M607" s="277" t="s">
        <v>4344</v>
      </c>
      <c r="N607" s="302" t="str">
        <f t="shared" si="311"/>
        <v>IP-</v>
      </c>
      <c r="O607" s="277"/>
      <c r="P607" s="277"/>
      <c r="Q607" s="277"/>
      <c r="R607" s="277"/>
      <c r="S607" s="277"/>
      <c r="T607" s="111" t="s">
        <v>43</v>
      </c>
      <c r="U607" s="269" t="s">
        <v>2849</v>
      </c>
      <c r="V607" s="290">
        <v>44893</v>
      </c>
      <c r="W607" s="277" t="e">
        <f t="shared" si="312"/>
        <v>#VALUE!</v>
      </c>
      <c r="X607" s="277" t="e">
        <f t="shared" si="313"/>
        <v>#VALUE!</v>
      </c>
      <c r="Y607" s="277"/>
      <c r="Z607" s="277" t="s">
        <v>152</v>
      </c>
      <c r="AA607" s="265" t="s">
        <v>153</v>
      </c>
      <c r="AB607" s="290">
        <v>44925</v>
      </c>
      <c r="AC607" s="304"/>
      <c r="AD607" s="290">
        <v>44925</v>
      </c>
      <c r="AE607" s="277"/>
      <c r="AF607" s="265" t="str">
        <f t="shared" si="314"/>
        <v>dic</v>
      </c>
      <c r="AG607" s="306">
        <f t="shared" si="315"/>
        <v>37</v>
      </c>
      <c r="AH607" s="307">
        <f t="shared" si="316"/>
        <v>32</v>
      </c>
      <c r="AI607" s="277"/>
      <c r="AJ607" s="277"/>
      <c r="AK607" s="277"/>
      <c r="AL607" s="277"/>
      <c r="AM607" s="277"/>
      <c r="AN607" s="309"/>
      <c r="AO607" s="289"/>
      <c r="AP607" s="277"/>
      <c r="AQ607" s="309"/>
      <c r="AR607" s="289"/>
      <c r="AS607" s="289"/>
      <c r="AT607" s="277"/>
      <c r="AU607" s="260"/>
      <c r="AV607" s="260"/>
      <c r="AW607" s="200"/>
      <c r="AX607" s="200"/>
      <c r="AY607" s="200"/>
      <c r="AZ607" s="139">
        <f t="shared" si="308"/>
        <v>1</v>
      </c>
      <c r="BA607" s="200"/>
      <c r="BB607" s="200"/>
      <c r="BC607" s="3"/>
      <c r="BD607" s="95"/>
      <c r="BE607" s="2"/>
    </row>
    <row r="608" spans="2:57" ht="43.9" customHeight="1" x14ac:dyDescent="0.25">
      <c r="B608" s="100">
        <f t="shared" si="307"/>
        <v>590</v>
      </c>
      <c r="C608" s="293" t="s">
        <v>232</v>
      </c>
      <c r="D608" s="312" t="s">
        <v>32</v>
      </c>
      <c r="E608" s="272">
        <v>44888</v>
      </c>
      <c r="F608" s="268" t="s">
        <v>4274</v>
      </c>
      <c r="G608" s="289" t="s">
        <v>4204</v>
      </c>
      <c r="H608" s="265" t="s">
        <v>4205</v>
      </c>
      <c r="I608" s="265"/>
      <c r="J608" s="289" t="s">
        <v>4206</v>
      </c>
      <c r="K608" s="342">
        <v>251090</v>
      </c>
      <c r="L608" s="292"/>
      <c r="M608" s="277" t="s">
        <v>4345</v>
      </c>
      <c r="N608" s="302" t="str">
        <f t="shared" si="311"/>
        <v>IP-</v>
      </c>
      <c r="O608" s="277"/>
      <c r="P608" s="277"/>
      <c r="Q608" s="277"/>
      <c r="R608" s="277"/>
      <c r="S608" s="277"/>
      <c r="T608" s="111" t="s">
        <v>43</v>
      </c>
      <c r="U608" s="269" t="s">
        <v>2849</v>
      </c>
      <c r="V608" s="290">
        <v>44893</v>
      </c>
      <c r="W608" s="277" t="e">
        <f t="shared" si="312"/>
        <v>#VALUE!</v>
      </c>
      <c r="X608" s="277" t="e">
        <f t="shared" si="313"/>
        <v>#VALUE!</v>
      </c>
      <c r="Y608" s="277"/>
      <c r="Z608" s="277" t="s">
        <v>152</v>
      </c>
      <c r="AA608" s="265" t="s">
        <v>153</v>
      </c>
      <c r="AB608" s="290">
        <v>44925</v>
      </c>
      <c r="AC608" s="304"/>
      <c r="AD608" s="290">
        <v>44925</v>
      </c>
      <c r="AE608" s="277"/>
      <c r="AF608" s="265" t="str">
        <f t="shared" si="314"/>
        <v>dic</v>
      </c>
      <c r="AG608" s="306">
        <f t="shared" si="315"/>
        <v>37</v>
      </c>
      <c r="AH608" s="307">
        <f t="shared" si="316"/>
        <v>32</v>
      </c>
      <c r="AI608" s="277"/>
      <c r="AJ608" s="277"/>
      <c r="AK608" s="277"/>
      <c r="AL608" s="277"/>
      <c r="AM608" s="277"/>
      <c r="AN608" s="309"/>
      <c r="AO608" s="289"/>
      <c r="AP608" s="277"/>
      <c r="AQ608" s="309"/>
      <c r="AR608" s="289"/>
      <c r="AS608" s="289"/>
      <c r="AT608" s="277"/>
      <c r="AU608" s="260"/>
      <c r="AV608" s="260"/>
      <c r="AW608" s="200"/>
      <c r="AX608" s="200"/>
      <c r="AY608" s="200"/>
      <c r="AZ608" s="139">
        <f t="shared" si="308"/>
        <v>1</v>
      </c>
      <c r="BA608" s="200"/>
      <c r="BB608" s="200"/>
      <c r="BC608" s="3"/>
      <c r="BD608" s="95"/>
      <c r="BE608" s="2"/>
    </row>
    <row r="609" spans="2:57" ht="43.9" customHeight="1" x14ac:dyDescent="0.25">
      <c r="B609" s="100">
        <f t="shared" si="307"/>
        <v>591</v>
      </c>
      <c r="C609" s="293" t="s">
        <v>4207</v>
      </c>
      <c r="D609" s="265" t="s">
        <v>332</v>
      </c>
      <c r="E609" s="272">
        <v>44894</v>
      </c>
      <c r="F609" s="268" t="s">
        <v>4274</v>
      </c>
      <c r="G609" s="289" t="s">
        <v>4208</v>
      </c>
      <c r="H609" s="265" t="s">
        <v>4209</v>
      </c>
      <c r="I609" s="265" t="s">
        <v>477</v>
      </c>
      <c r="J609" s="289" t="s">
        <v>4210</v>
      </c>
      <c r="K609" s="342">
        <v>69932512</v>
      </c>
      <c r="L609" s="326"/>
      <c r="M609" s="277" t="s">
        <v>146</v>
      </c>
      <c r="N609" s="302" t="str">
        <f t="shared" si="311"/>
        <v/>
      </c>
      <c r="O609" s="277"/>
      <c r="P609" s="277"/>
      <c r="Q609" s="277"/>
      <c r="R609" s="277"/>
      <c r="S609" s="277"/>
      <c r="T609" s="280" t="str">
        <f>(IF(N609="IPU","INVITACION PUBLICA",(IF(N609="IP-","INVITACION PRIVADA"," "))))</f>
        <v xml:space="preserve"> </v>
      </c>
      <c r="U609" s="269" t="s">
        <v>42</v>
      </c>
      <c r="V609" s="290">
        <v>44894</v>
      </c>
      <c r="W609" s="277" t="e">
        <f t="shared" si="312"/>
        <v>#VALUE!</v>
      </c>
      <c r="X609" s="277" t="e">
        <f t="shared" si="313"/>
        <v>#VALUE!</v>
      </c>
      <c r="Y609" s="277"/>
      <c r="Z609" s="277" t="s">
        <v>152</v>
      </c>
      <c r="AA609" s="265" t="s">
        <v>153</v>
      </c>
      <c r="AB609" s="290">
        <v>44911</v>
      </c>
      <c r="AC609" s="304" t="s">
        <v>4346</v>
      </c>
      <c r="AD609" s="290">
        <v>44909</v>
      </c>
      <c r="AE609" s="277"/>
      <c r="AF609" s="265" t="str">
        <f t="shared" si="314"/>
        <v>dic</v>
      </c>
      <c r="AG609" s="306">
        <f t="shared" si="315"/>
        <v>15</v>
      </c>
      <c r="AH609" s="307">
        <f t="shared" si="316"/>
        <v>15</v>
      </c>
      <c r="AI609" s="277"/>
      <c r="AJ609" s="277"/>
      <c r="AK609" s="277"/>
      <c r="AL609" s="277"/>
      <c r="AM609" s="277"/>
      <c r="AN609" s="309"/>
      <c r="AO609" s="289"/>
      <c r="AP609" s="277"/>
      <c r="AQ609" s="309"/>
      <c r="AR609" s="289"/>
      <c r="AS609" s="289"/>
      <c r="AT609" s="277"/>
      <c r="AU609" s="260"/>
      <c r="AV609" s="260"/>
      <c r="AW609" s="200"/>
      <c r="AX609" s="200"/>
      <c r="AY609" s="200"/>
      <c r="AZ609" s="139">
        <f t="shared" si="308"/>
        <v>0</v>
      </c>
      <c r="BA609" s="200"/>
      <c r="BB609" s="200"/>
      <c r="BC609" s="3"/>
      <c r="BD609" s="95"/>
      <c r="BE609" s="2"/>
    </row>
    <row r="610" spans="2:57" ht="43.9" customHeight="1" x14ac:dyDescent="0.25">
      <c r="B610" s="100">
        <f t="shared" si="307"/>
        <v>592</v>
      </c>
      <c r="C610" s="293" t="s">
        <v>4211</v>
      </c>
      <c r="D610" s="312" t="s">
        <v>32</v>
      </c>
      <c r="E610" s="272">
        <v>44895</v>
      </c>
      <c r="F610" s="268" t="s">
        <v>4274</v>
      </c>
      <c r="G610" s="289" t="s">
        <v>4212</v>
      </c>
      <c r="H610" s="265" t="s">
        <v>4213</v>
      </c>
      <c r="I610" s="265"/>
      <c r="J610" s="289" t="s">
        <v>4214</v>
      </c>
      <c r="K610" s="342">
        <v>497254424</v>
      </c>
      <c r="L610" s="327"/>
      <c r="M610" s="277" t="s">
        <v>4215</v>
      </c>
      <c r="N610" s="302" t="str">
        <f t="shared" si="311"/>
        <v>IP-</v>
      </c>
      <c r="O610" s="277"/>
      <c r="P610" s="277"/>
      <c r="Q610" s="277"/>
      <c r="R610" s="277"/>
      <c r="S610" s="277"/>
      <c r="T610" s="111" t="s">
        <v>43</v>
      </c>
      <c r="U610" s="269" t="s">
        <v>312</v>
      </c>
      <c r="V610" s="290">
        <v>44895</v>
      </c>
      <c r="W610" s="277" t="e">
        <f t="shared" si="312"/>
        <v>#VALUE!</v>
      </c>
      <c r="X610" s="277" t="e">
        <f t="shared" si="313"/>
        <v>#VALUE!</v>
      </c>
      <c r="Y610" s="277"/>
      <c r="Z610" s="277" t="s">
        <v>152</v>
      </c>
      <c r="AA610" s="265" t="s">
        <v>153</v>
      </c>
      <c r="AB610" s="290">
        <v>44925</v>
      </c>
      <c r="AC610" s="304" t="s">
        <v>4347</v>
      </c>
      <c r="AD610" s="290">
        <v>44924</v>
      </c>
      <c r="AE610" s="277"/>
      <c r="AF610" s="265" t="str">
        <f t="shared" si="314"/>
        <v>dic</v>
      </c>
      <c r="AG610" s="306">
        <f t="shared" si="315"/>
        <v>29</v>
      </c>
      <c r="AH610" s="307">
        <f t="shared" si="316"/>
        <v>29</v>
      </c>
      <c r="AI610" s="277"/>
      <c r="AJ610" s="277"/>
      <c r="AK610" s="277"/>
      <c r="AL610" s="277"/>
      <c r="AM610" s="277"/>
      <c r="AN610" s="309"/>
      <c r="AO610" s="289"/>
      <c r="AP610" s="277"/>
      <c r="AQ610" s="309"/>
      <c r="AR610" s="289"/>
      <c r="AS610" s="289"/>
      <c r="AT610" s="277"/>
      <c r="AU610" s="260"/>
      <c r="AV610" s="260"/>
      <c r="AW610" s="200"/>
      <c r="AX610" s="200"/>
      <c r="AY610" s="200"/>
      <c r="AZ610" s="139">
        <f t="shared" si="308"/>
        <v>1</v>
      </c>
      <c r="BA610" s="200"/>
      <c r="BB610" s="200"/>
      <c r="BC610" s="3"/>
      <c r="BD610" s="95"/>
      <c r="BE610" s="2"/>
    </row>
    <row r="611" spans="2:57" ht="43.9" customHeight="1" x14ac:dyDescent="0.25">
      <c r="B611" s="100">
        <f t="shared" si="307"/>
        <v>593</v>
      </c>
      <c r="C611" s="293" t="s">
        <v>4367</v>
      </c>
      <c r="D611" s="265" t="s">
        <v>332</v>
      </c>
      <c r="E611" s="272">
        <v>44895</v>
      </c>
      <c r="F611" s="268" t="s">
        <v>4274</v>
      </c>
      <c r="G611" s="289" t="s">
        <v>4368</v>
      </c>
      <c r="H611" s="265" t="s">
        <v>4198</v>
      </c>
      <c r="I611" s="265"/>
      <c r="J611" s="289" t="s">
        <v>4369</v>
      </c>
      <c r="K611" s="342">
        <v>3824682012</v>
      </c>
      <c r="L611" s="292"/>
      <c r="M611" s="277" t="s">
        <v>4370</v>
      </c>
      <c r="N611" s="302" t="str">
        <f t="shared" si="311"/>
        <v>IP-</v>
      </c>
      <c r="O611" s="277"/>
      <c r="P611" s="277"/>
      <c r="Q611" s="277"/>
      <c r="R611" s="277"/>
      <c r="S611" s="277"/>
      <c r="T611" s="111" t="s">
        <v>43</v>
      </c>
      <c r="U611" s="269" t="s">
        <v>312</v>
      </c>
      <c r="V611" s="290">
        <v>44895</v>
      </c>
      <c r="W611" s="277" t="e">
        <f t="shared" si="312"/>
        <v>#VALUE!</v>
      </c>
      <c r="X611" s="277" t="e">
        <f t="shared" si="313"/>
        <v>#VALUE!</v>
      </c>
      <c r="Y611" s="277"/>
      <c r="Z611" s="277" t="s">
        <v>214</v>
      </c>
      <c r="AA611" s="265" t="s">
        <v>215</v>
      </c>
      <c r="AB611" s="290">
        <v>44925</v>
      </c>
      <c r="AC611" s="304" t="s">
        <v>4371</v>
      </c>
      <c r="AD611" s="290">
        <v>44917</v>
      </c>
      <c r="AE611" s="277"/>
      <c r="AF611" s="265" t="str">
        <f t="shared" si="314"/>
        <v>dic</v>
      </c>
      <c r="AG611" s="306">
        <f t="shared" si="315"/>
        <v>22</v>
      </c>
      <c r="AH611" s="307">
        <f t="shared" si="316"/>
        <v>22</v>
      </c>
      <c r="AI611" s="277"/>
      <c r="AJ611" s="277"/>
      <c r="AK611" s="277"/>
      <c r="AL611" s="277"/>
      <c r="AM611" s="309"/>
      <c r="AN611" s="269"/>
      <c r="AO611" s="277"/>
      <c r="AP611" s="309"/>
      <c r="AQ611" s="289"/>
      <c r="AR611" s="289"/>
      <c r="AS611" s="277"/>
      <c r="AT611" s="260"/>
      <c r="AU611" s="260"/>
      <c r="AV611" s="200"/>
      <c r="AW611" s="200"/>
      <c r="AX611" s="200"/>
      <c r="AY611" s="200"/>
      <c r="AZ611" s="139">
        <f t="shared" si="308"/>
        <v>0</v>
      </c>
      <c r="BA611" s="200"/>
      <c r="BB611" s="203"/>
      <c r="BC611" s="95"/>
      <c r="BD611" s="2"/>
      <c r="BE611" s="2"/>
    </row>
    <row r="612" spans="2:57" ht="43.9" customHeight="1" x14ac:dyDescent="0.25">
      <c r="B612" s="100">
        <f t="shared" si="307"/>
        <v>594</v>
      </c>
      <c r="C612" s="293" t="s">
        <v>4372</v>
      </c>
      <c r="D612" s="265" t="s">
        <v>332</v>
      </c>
      <c r="E612" s="272">
        <v>44895</v>
      </c>
      <c r="F612" s="268" t="s">
        <v>4274</v>
      </c>
      <c r="G612" s="289" t="s">
        <v>4373</v>
      </c>
      <c r="H612" s="265" t="s">
        <v>4198</v>
      </c>
      <c r="I612" s="265"/>
      <c r="J612" s="289" t="s">
        <v>4369</v>
      </c>
      <c r="K612" s="342">
        <v>3469712628</v>
      </c>
      <c r="L612" s="292"/>
      <c r="M612" s="277" t="s">
        <v>4374</v>
      </c>
      <c r="N612" s="302" t="str">
        <f t="shared" si="311"/>
        <v>IP-</v>
      </c>
      <c r="O612" s="277"/>
      <c r="P612" s="277"/>
      <c r="Q612" s="277"/>
      <c r="R612" s="277"/>
      <c r="S612" s="277"/>
      <c r="T612" s="111" t="s">
        <v>43</v>
      </c>
      <c r="U612" s="269" t="s">
        <v>312</v>
      </c>
      <c r="V612" s="290">
        <v>44895</v>
      </c>
      <c r="W612" s="277" t="e">
        <f t="shared" si="312"/>
        <v>#VALUE!</v>
      </c>
      <c r="X612" s="277" t="e">
        <f t="shared" si="313"/>
        <v>#VALUE!</v>
      </c>
      <c r="Y612" s="277"/>
      <c r="Z612" s="277" t="s">
        <v>214</v>
      </c>
      <c r="AA612" s="265" t="s">
        <v>215</v>
      </c>
      <c r="AB612" s="290">
        <v>44925</v>
      </c>
      <c r="AC612" s="304" t="s">
        <v>4375</v>
      </c>
      <c r="AD612" s="290">
        <v>44917</v>
      </c>
      <c r="AE612" s="277"/>
      <c r="AF612" s="265" t="str">
        <f t="shared" si="314"/>
        <v>dic</v>
      </c>
      <c r="AG612" s="306">
        <f t="shared" si="315"/>
        <v>22</v>
      </c>
      <c r="AH612" s="307">
        <f t="shared" si="316"/>
        <v>22</v>
      </c>
      <c r="AI612" s="277"/>
      <c r="AJ612" s="277"/>
      <c r="AK612" s="277"/>
      <c r="AL612" s="277"/>
      <c r="AM612" s="309"/>
      <c r="AN612" s="269"/>
      <c r="AO612" s="277"/>
      <c r="AP612" s="309"/>
      <c r="AQ612" s="289"/>
      <c r="AR612" s="289"/>
      <c r="AS612" s="277"/>
      <c r="AT612" s="260"/>
      <c r="AU612" s="260"/>
      <c r="AV612" s="200"/>
      <c r="AW612" s="200"/>
      <c r="AX612" s="200"/>
      <c r="AY612" s="200"/>
      <c r="AZ612" s="139">
        <f t="shared" si="308"/>
        <v>0</v>
      </c>
      <c r="BA612" s="200"/>
      <c r="BB612" s="203"/>
      <c r="BC612" s="95"/>
      <c r="BD612" s="2"/>
      <c r="BE612" s="2"/>
    </row>
    <row r="613" spans="2:57" ht="43.9" customHeight="1" x14ac:dyDescent="0.25">
      <c r="B613" s="100">
        <f t="shared" si="307"/>
        <v>595</v>
      </c>
      <c r="C613" s="293" t="s">
        <v>4376</v>
      </c>
      <c r="D613" s="265" t="s">
        <v>332</v>
      </c>
      <c r="E613" s="272">
        <v>44895</v>
      </c>
      <c r="F613" s="268" t="s">
        <v>4274</v>
      </c>
      <c r="G613" s="289" t="s">
        <v>4377</v>
      </c>
      <c r="H613" s="265" t="s">
        <v>4378</v>
      </c>
      <c r="I613" s="265"/>
      <c r="J613" s="289" t="s">
        <v>4379</v>
      </c>
      <c r="K613" s="342">
        <v>43996960</v>
      </c>
      <c r="L613" s="292"/>
      <c r="M613" s="277" t="s">
        <v>4380</v>
      </c>
      <c r="N613" s="302" t="str">
        <f t="shared" si="311"/>
        <v>IP-</v>
      </c>
      <c r="O613" s="277"/>
      <c r="P613" s="277"/>
      <c r="Q613" s="277"/>
      <c r="R613" s="277"/>
      <c r="S613" s="277"/>
      <c r="T613" s="111" t="s">
        <v>43</v>
      </c>
      <c r="U613" s="269" t="s">
        <v>277</v>
      </c>
      <c r="V613" s="290">
        <v>44895</v>
      </c>
      <c r="W613" s="277" t="e">
        <f t="shared" si="312"/>
        <v>#VALUE!</v>
      </c>
      <c r="X613" s="277" t="e">
        <f t="shared" si="313"/>
        <v>#VALUE!</v>
      </c>
      <c r="Y613" s="277"/>
      <c r="Z613" s="277" t="s">
        <v>214</v>
      </c>
      <c r="AA613" s="265" t="s">
        <v>215</v>
      </c>
      <c r="AB613" s="290">
        <v>44925</v>
      </c>
      <c r="AC613" s="304"/>
      <c r="AD613" s="290">
        <v>44925</v>
      </c>
      <c r="AE613" s="277"/>
      <c r="AF613" s="265" t="str">
        <f t="shared" si="314"/>
        <v>dic</v>
      </c>
      <c r="AG613" s="306">
        <f t="shared" si="315"/>
        <v>30</v>
      </c>
      <c r="AH613" s="307">
        <f t="shared" si="316"/>
        <v>30</v>
      </c>
      <c r="AI613" s="277"/>
      <c r="AJ613" s="277"/>
      <c r="AK613" s="277"/>
      <c r="AL613" s="277"/>
      <c r="AM613" s="309"/>
      <c r="AN613" s="269"/>
      <c r="AO613" s="277"/>
      <c r="AP613" s="309"/>
      <c r="AQ613" s="289"/>
      <c r="AR613" s="289"/>
      <c r="AS613" s="277"/>
      <c r="AT613" s="260"/>
      <c r="AU613" s="260"/>
      <c r="AV613" s="200"/>
      <c r="AW613" s="200"/>
      <c r="AX613" s="200"/>
      <c r="AY613" s="200"/>
      <c r="AZ613" s="139">
        <f t="shared" si="308"/>
        <v>0</v>
      </c>
      <c r="BA613" s="200"/>
      <c r="BB613" s="203"/>
      <c r="BC613" s="95"/>
      <c r="BD613" s="2"/>
      <c r="BE613" s="2"/>
    </row>
    <row r="614" spans="2:57" ht="43.9" customHeight="1" x14ac:dyDescent="0.25">
      <c r="B614" s="100">
        <f t="shared" si="307"/>
        <v>596</v>
      </c>
      <c r="C614" s="293" t="s">
        <v>4300</v>
      </c>
      <c r="D614" s="265" t="s">
        <v>359</v>
      </c>
      <c r="E614" s="272">
        <v>44895</v>
      </c>
      <c r="F614" s="268" t="s">
        <v>4274</v>
      </c>
      <c r="G614" s="269" t="s">
        <v>4301</v>
      </c>
      <c r="H614" s="265" t="s">
        <v>4112</v>
      </c>
      <c r="I614" s="265"/>
      <c r="J614" s="269" t="s">
        <v>4113</v>
      </c>
      <c r="K614" s="342">
        <v>1296491842</v>
      </c>
      <c r="L614" s="298"/>
      <c r="M614" s="294" t="s">
        <v>4302</v>
      </c>
      <c r="N614" s="302" t="s">
        <v>4263</v>
      </c>
      <c r="O614" s="265"/>
      <c r="P614" s="265"/>
      <c r="Q614" s="265"/>
      <c r="R614" s="265"/>
      <c r="S614" s="265"/>
      <c r="T614" s="111" t="s">
        <v>43</v>
      </c>
      <c r="U614" s="269" t="s">
        <v>312</v>
      </c>
      <c r="V614" s="272">
        <v>44895</v>
      </c>
      <c r="W614" s="265">
        <v>54</v>
      </c>
      <c r="X614" s="265">
        <v>54</v>
      </c>
      <c r="Y614" s="265"/>
      <c r="Z614" s="265" t="s">
        <v>168</v>
      </c>
      <c r="AA614" s="265" t="s">
        <v>169</v>
      </c>
      <c r="AB614" s="272">
        <v>44910</v>
      </c>
      <c r="AC614" s="304"/>
      <c r="AD614" s="272">
        <v>44909</v>
      </c>
      <c r="AE614" s="272" t="s">
        <v>4264</v>
      </c>
      <c r="AF614" s="265" t="s">
        <v>4264</v>
      </c>
      <c r="AG614" s="306">
        <v>14</v>
      </c>
      <c r="AH614" s="307">
        <v>14</v>
      </c>
      <c r="AI614" s="265" t="s">
        <v>258</v>
      </c>
      <c r="AJ614" s="265"/>
      <c r="AK614" s="265" t="s">
        <v>4303</v>
      </c>
      <c r="AL614" s="272">
        <v>44904</v>
      </c>
      <c r="AM614" s="309">
        <v>1296491642</v>
      </c>
      <c r="AN614" s="269" t="s">
        <v>4304</v>
      </c>
      <c r="AO614" s="265" t="s">
        <v>4305</v>
      </c>
      <c r="AP614" s="181">
        <f t="shared" ref="AP614" si="317">+K614-AM614</f>
        <v>200</v>
      </c>
      <c r="AQ614" s="269"/>
      <c r="AR614" s="269"/>
      <c r="AS614" s="265"/>
      <c r="AT614" s="260"/>
      <c r="AU614" s="200"/>
      <c r="AV614" s="260"/>
      <c r="AW614" s="200"/>
      <c r="AX614" s="200"/>
      <c r="AY614" s="167">
        <f>+AP614/K614</f>
        <v>1.5426244386657699E-7</v>
      </c>
      <c r="AZ614" s="139">
        <f t="shared" si="308"/>
        <v>0</v>
      </c>
      <c r="BA614" s="139">
        <f>IF(T614="Invitación Privada",1,IF(T614="Invitación Pública",2,0))</f>
        <v>1</v>
      </c>
      <c r="BB614" s="132">
        <f>IF(AA614="CONTRATADO",IF(BA614=1,NETWORKDAYS.INTL(E614,AD614,1,[1]FESTIVOS!$B$3:$B$10)-1,AD614-E614))-BD614</f>
        <v>10</v>
      </c>
      <c r="BC614" s="95"/>
      <c r="BD614" s="2"/>
      <c r="BE614" s="2"/>
    </row>
    <row r="615" spans="2:57" ht="43.9" customHeight="1" x14ac:dyDescent="0.25">
      <c r="B615" s="100">
        <f t="shared" si="307"/>
        <v>597</v>
      </c>
      <c r="C615" s="293" t="s">
        <v>4381</v>
      </c>
      <c r="D615" s="312" t="s">
        <v>32</v>
      </c>
      <c r="E615" s="272">
        <v>44895</v>
      </c>
      <c r="F615" s="268" t="s">
        <v>4274</v>
      </c>
      <c r="G615" s="289" t="s">
        <v>4382</v>
      </c>
      <c r="H615" s="265" t="s">
        <v>4383</v>
      </c>
      <c r="I615" s="265"/>
      <c r="J615" s="289" t="s">
        <v>4384</v>
      </c>
      <c r="K615" s="342">
        <v>10770928</v>
      </c>
      <c r="L615" s="292"/>
      <c r="M615" s="277" t="s">
        <v>4385</v>
      </c>
      <c r="N615" s="302" t="str">
        <f>MID(M615,5,3)</f>
        <v>IP-</v>
      </c>
      <c r="O615" s="277"/>
      <c r="P615" s="277"/>
      <c r="Q615" s="277"/>
      <c r="R615" s="277"/>
      <c r="S615" s="277"/>
      <c r="T615" s="111" t="s">
        <v>43</v>
      </c>
      <c r="U615" s="269" t="s">
        <v>4082</v>
      </c>
      <c r="V615" s="290">
        <v>44895</v>
      </c>
      <c r="W615" s="277" t="e">
        <f>+$D$4-E615</f>
        <v>#VALUE!</v>
      </c>
      <c r="X615" s="277" t="e">
        <f>$D$4-V615</f>
        <v>#VALUE!</v>
      </c>
      <c r="Y615" s="277"/>
      <c r="Z615" s="277" t="s">
        <v>214</v>
      </c>
      <c r="AA615" s="265" t="s">
        <v>215</v>
      </c>
      <c r="AB615" s="290">
        <v>44917</v>
      </c>
      <c r="AC615" s="304"/>
      <c r="AD615" s="290">
        <v>44917</v>
      </c>
      <c r="AE615" s="277"/>
      <c r="AF615" s="265" t="str">
        <f>+IF(AD615="","",TEXT(AD615,"mmm"))</f>
        <v>dic</v>
      </c>
      <c r="AG615" s="306">
        <f>+AD615-E615</f>
        <v>22</v>
      </c>
      <c r="AH615" s="307">
        <f>+AD615-V615</f>
        <v>22</v>
      </c>
      <c r="AI615" s="277"/>
      <c r="AJ615" s="277"/>
      <c r="AK615" s="277"/>
      <c r="AL615" s="277"/>
      <c r="AM615" s="309"/>
      <c r="AN615" s="269"/>
      <c r="AO615" s="277"/>
      <c r="AP615" s="309"/>
      <c r="AQ615" s="289"/>
      <c r="AR615" s="289"/>
      <c r="AS615" s="277"/>
      <c r="AT615" s="260"/>
      <c r="AU615" s="260"/>
      <c r="AV615" s="200"/>
      <c r="AW615" s="200"/>
      <c r="AX615" s="200"/>
      <c r="AY615" s="200"/>
      <c r="AZ615" s="139">
        <f t="shared" si="308"/>
        <v>1</v>
      </c>
      <c r="BA615" s="200"/>
      <c r="BB615" s="203"/>
      <c r="BC615" s="95"/>
      <c r="BD615" s="2"/>
      <c r="BE615" s="2"/>
    </row>
    <row r="616" spans="2:57" ht="43.9" customHeight="1" x14ac:dyDescent="0.25">
      <c r="B616" s="100">
        <f t="shared" si="307"/>
        <v>598</v>
      </c>
      <c r="C616" s="293" t="s">
        <v>4348</v>
      </c>
      <c r="D616" s="265" t="s">
        <v>332</v>
      </c>
      <c r="E616" s="272">
        <v>44866</v>
      </c>
      <c r="F616" s="268" t="s">
        <v>4274</v>
      </c>
      <c r="G616" s="289" t="s">
        <v>4349</v>
      </c>
      <c r="H616" s="265" t="s">
        <v>3346</v>
      </c>
      <c r="I616" s="265"/>
      <c r="J616" s="289" t="s">
        <v>3347</v>
      </c>
      <c r="K616" s="342">
        <v>200457042</v>
      </c>
      <c r="L616" s="292"/>
      <c r="M616" s="277" t="s">
        <v>4350</v>
      </c>
      <c r="N616" s="302" t="str">
        <f>MID(M616,5,3)</f>
        <v>IP-</v>
      </c>
      <c r="O616" s="277"/>
      <c r="P616" s="277"/>
      <c r="Q616" s="277"/>
      <c r="R616" s="277"/>
      <c r="S616" s="277"/>
      <c r="T616" s="111" t="s">
        <v>43</v>
      </c>
      <c r="U616" s="269" t="s">
        <v>4036</v>
      </c>
      <c r="V616" s="290">
        <v>44896</v>
      </c>
      <c r="W616" s="277" t="e">
        <f>+$D$4-E616</f>
        <v>#VALUE!</v>
      </c>
      <c r="X616" s="277" t="e">
        <f>$D$4-V616</f>
        <v>#VALUE!</v>
      </c>
      <c r="Y616" s="277"/>
      <c r="Z616" s="277" t="s">
        <v>4067</v>
      </c>
      <c r="AA616" s="265" t="s">
        <v>153</v>
      </c>
      <c r="AB616" s="290">
        <v>44925</v>
      </c>
      <c r="AC616" s="304" t="s">
        <v>4351</v>
      </c>
      <c r="AD616" s="290">
        <v>44922</v>
      </c>
      <c r="AE616" s="277"/>
      <c r="AF616" s="265" t="str">
        <f>+IF(AD616="","",TEXT(AD616,"mmm"))</f>
        <v>dic</v>
      </c>
      <c r="AG616" s="306">
        <f>+AD616-E616</f>
        <v>56</v>
      </c>
      <c r="AH616" s="307">
        <f>+AD616-V616</f>
        <v>26</v>
      </c>
      <c r="AI616" s="277"/>
      <c r="AJ616" s="277"/>
      <c r="AK616" s="265" t="s">
        <v>4352</v>
      </c>
      <c r="AL616" s="290">
        <v>44918</v>
      </c>
      <c r="AM616" s="309">
        <v>198973950</v>
      </c>
      <c r="AN616" s="269" t="s">
        <v>4353</v>
      </c>
      <c r="AO616" s="277" t="s">
        <v>4354</v>
      </c>
      <c r="AP616" s="309">
        <f>+K616-AM616</f>
        <v>1483092</v>
      </c>
      <c r="AQ616" s="200"/>
      <c r="AR616" s="289"/>
      <c r="AS616" s="289"/>
      <c r="AT616" s="277"/>
      <c r="AU616" s="260"/>
      <c r="AV616" s="260"/>
      <c r="AW616" s="200"/>
      <c r="AX616" s="200"/>
      <c r="AY616" s="200"/>
      <c r="AZ616" s="139">
        <f t="shared" si="308"/>
        <v>0</v>
      </c>
      <c r="BA616" s="200"/>
      <c r="BB616" s="200"/>
      <c r="BC616" s="3"/>
      <c r="BD616" s="95"/>
      <c r="BE616" s="2"/>
    </row>
    <row r="617" spans="2:57" ht="43.9" customHeight="1" x14ac:dyDescent="0.25">
      <c r="B617" s="100">
        <f t="shared" si="307"/>
        <v>599</v>
      </c>
      <c r="C617" s="293" t="s">
        <v>4306</v>
      </c>
      <c r="D617" s="265" t="s">
        <v>28</v>
      </c>
      <c r="E617" s="272">
        <v>44897</v>
      </c>
      <c r="F617" s="268" t="s">
        <v>4264</v>
      </c>
      <c r="G617" s="289" t="s">
        <v>4307</v>
      </c>
      <c r="H617" s="294" t="s">
        <v>4308</v>
      </c>
      <c r="I617" s="265" t="s">
        <v>1224</v>
      </c>
      <c r="J617" s="289" t="s">
        <v>1630</v>
      </c>
      <c r="K617" s="342">
        <v>2071953590</v>
      </c>
      <c r="L617" s="292"/>
      <c r="M617" s="277" t="s">
        <v>146</v>
      </c>
      <c r="N617" s="302" t="s">
        <v>4268</v>
      </c>
      <c r="O617" s="277"/>
      <c r="P617" s="277"/>
      <c r="Q617" s="277"/>
      <c r="R617" s="277"/>
      <c r="S617" s="277"/>
      <c r="T617" s="96" t="s">
        <v>230</v>
      </c>
      <c r="U617" s="269" t="s">
        <v>4309</v>
      </c>
      <c r="V617" s="290">
        <v>44897</v>
      </c>
      <c r="W617" s="277">
        <v>52</v>
      </c>
      <c r="X617" s="277">
        <v>52</v>
      </c>
      <c r="Y617" s="277"/>
      <c r="Z617" s="277" t="s">
        <v>168</v>
      </c>
      <c r="AA617" s="265" t="s">
        <v>169</v>
      </c>
      <c r="AB617" s="290">
        <v>44918</v>
      </c>
      <c r="AC617" s="304"/>
      <c r="AD617" s="272">
        <v>44924</v>
      </c>
      <c r="AE617" s="272" t="s">
        <v>4264</v>
      </c>
      <c r="AF617" s="265" t="s">
        <v>4264</v>
      </c>
      <c r="AG617" s="306">
        <v>27</v>
      </c>
      <c r="AH617" s="307">
        <v>27</v>
      </c>
      <c r="AI617" s="265" t="s">
        <v>146</v>
      </c>
      <c r="AJ617" s="277"/>
      <c r="AK617" s="269" t="s">
        <v>4428</v>
      </c>
      <c r="AL617" s="290">
        <v>44918</v>
      </c>
      <c r="AM617" s="309">
        <f>1979315893+27426168</f>
        <v>2006742061</v>
      </c>
      <c r="AN617" s="269" t="s">
        <v>4310</v>
      </c>
      <c r="AO617" s="277"/>
      <c r="AP617" s="181">
        <f t="shared" ref="AP617" si="318">+K617-AM617</f>
        <v>65211529</v>
      </c>
      <c r="AQ617" s="289"/>
      <c r="AR617" s="289"/>
      <c r="AS617" s="277"/>
      <c r="AT617" s="260"/>
      <c r="AU617" s="200"/>
      <c r="AV617" s="260"/>
      <c r="AW617" s="200"/>
      <c r="AX617" s="200"/>
      <c r="AY617" s="167">
        <f>+AP617/K617</f>
        <v>3.1473450619132835E-2</v>
      </c>
      <c r="AZ617" s="139">
        <f t="shared" si="308"/>
        <v>1</v>
      </c>
      <c r="BA617" s="139">
        <f>IF(T617="Invitación Privada",1,IF(T617="Invitación Pública",2,0))</f>
        <v>0</v>
      </c>
      <c r="BB617" s="132">
        <f>IF(AA617="CONTRATADO",IF(BA617=1,NETWORKDAYS.INTL(E617,AD617,1,[1]FESTIVOS!$B$3:$B$10)-1,AD617-E617))-BD617</f>
        <v>27</v>
      </c>
      <c r="BC617" s="95"/>
      <c r="BD617" s="2"/>
      <c r="BE617" s="2"/>
    </row>
    <row r="618" spans="2:57" ht="43.9" customHeight="1" x14ac:dyDescent="0.25">
      <c r="B618" s="100">
        <f t="shared" si="307"/>
        <v>600</v>
      </c>
      <c r="C618" s="293" t="s">
        <v>4386</v>
      </c>
      <c r="D618" s="265" t="s">
        <v>359</v>
      </c>
      <c r="E618" s="284">
        <v>44897</v>
      </c>
      <c r="F618" s="268" t="s">
        <v>4264</v>
      </c>
      <c r="G618" s="265"/>
      <c r="H618" s="188" t="s">
        <v>4387</v>
      </c>
      <c r="I618" s="265"/>
      <c r="J618" s="188" t="s">
        <v>4388</v>
      </c>
      <c r="K618" s="342">
        <v>2976031062</v>
      </c>
      <c r="L618" s="289"/>
      <c r="M618" s="265"/>
      <c r="N618" s="265"/>
      <c r="O618" s="302"/>
      <c r="P618" s="265"/>
      <c r="Q618" s="271"/>
      <c r="R618" s="265"/>
      <c r="S618" s="265"/>
      <c r="T618" s="283"/>
      <c r="U618" s="280"/>
      <c r="V618" s="269"/>
      <c r="W618" s="284"/>
      <c r="X618" s="303"/>
      <c r="Y618" s="303"/>
      <c r="Z618" s="265"/>
      <c r="AA618" s="265" t="s">
        <v>215</v>
      </c>
      <c r="AB618" s="265"/>
      <c r="AC618" s="269"/>
      <c r="AD618" s="304"/>
      <c r="AE618" s="285"/>
      <c r="AF618" s="285"/>
      <c r="AG618" s="305"/>
      <c r="AH618" s="306"/>
      <c r="AI618" s="307"/>
      <c r="AJ618" s="265"/>
      <c r="AK618" s="265"/>
      <c r="AL618" s="308"/>
      <c r="AM618" s="309"/>
      <c r="AN618" s="331"/>
      <c r="AO618" s="269"/>
      <c r="AP618" s="309"/>
      <c r="AQ618" s="332"/>
      <c r="AR618" s="289"/>
      <c r="AS618" s="265"/>
      <c r="AT618" s="260"/>
      <c r="AU618" s="260"/>
      <c r="AV618" s="200"/>
      <c r="AW618" s="200"/>
      <c r="AX618" s="200"/>
      <c r="AY618" s="200"/>
      <c r="AZ618" s="139">
        <f t="shared" si="308"/>
        <v>0</v>
      </c>
      <c r="BA618" s="200"/>
      <c r="BB618" s="203"/>
      <c r="BC618" s="95"/>
      <c r="BD618" s="2"/>
      <c r="BE618" s="2"/>
    </row>
    <row r="619" spans="2:57" ht="43.9" customHeight="1" x14ac:dyDescent="0.25">
      <c r="B619" s="100">
        <f t="shared" si="307"/>
        <v>601</v>
      </c>
      <c r="C619" s="293" t="s">
        <v>242</v>
      </c>
      <c r="D619" s="312" t="s">
        <v>32</v>
      </c>
      <c r="E619" s="284">
        <v>44901</v>
      </c>
      <c r="F619" s="268" t="s">
        <v>4264</v>
      </c>
      <c r="G619" s="289" t="s">
        <v>4076</v>
      </c>
      <c r="H619" s="265" t="s">
        <v>4389</v>
      </c>
      <c r="I619" s="265"/>
      <c r="J619" s="289" t="s">
        <v>4390</v>
      </c>
      <c r="K619" s="342">
        <v>0</v>
      </c>
      <c r="L619" s="292"/>
      <c r="M619" s="277"/>
      <c r="N619" s="302" t="str">
        <f>MID(M619,5,3)</f>
        <v/>
      </c>
      <c r="O619" s="277"/>
      <c r="P619" s="277"/>
      <c r="Q619" s="277"/>
      <c r="R619" s="277"/>
      <c r="S619" s="277"/>
      <c r="T619" s="280" t="str">
        <f>(IF(N619="IPU","INVITACION PUBLICA",(IF(N619="IP-","INVITACION PRIVADA"," "))))</f>
        <v xml:space="preserve"> </v>
      </c>
      <c r="U619" s="269" t="s">
        <v>187</v>
      </c>
      <c r="V619" s="290">
        <v>44901</v>
      </c>
      <c r="W619" s="277" t="e">
        <f>+$D$4-E619</f>
        <v>#VALUE!</v>
      </c>
      <c r="X619" s="277" t="e">
        <f>$D$4-V619</f>
        <v>#VALUE!</v>
      </c>
      <c r="Y619" s="277"/>
      <c r="Z619" s="289" t="s">
        <v>152</v>
      </c>
      <c r="AA619" s="265" t="s">
        <v>215</v>
      </c>
      <c r="AB619" s="290">
        <v>44904</v>
      </c>
      <c r="AC619" s="304"/>
      <c r="AD619" s="290">
        <v>44904</v>
      </c>
      <c r="AE619" s="277"/>
      <c r="AF619" s="265" t="str">
        <f>+IF(AD619="","",TEXT(AD619,"mmm"))</f>
        <v>dic</v>
      </c>
      <c r="AG619" s="306">
        <f>+AD619-E619</f>
        <v>3</v>
      </c>
      <c r="AH619" s="307">
        <f>+AD619-V619</f>
        <v>3</v>
      </c>
      <c r="AI619" s="277"/>
      <c r="AJ619" s="277"/>
      <c r="AK619" s="277"/>
      <c r="AL619" s="277"/>
      <c r="AM619" s="309"/>
      <c r="AN619" s="269"/>
      <c r="AO619" s="277"/>
      <c r="AP619" s="309"/>
      <c r="AQ619" s="289"/>
      <c r="AR619" s="289"/>
      <c r="AS619" s="277"/>
      <c r="AT619" s="260"/>
      <c r="AU619" s="260"/>
      <c r="AV619" s="200"/>
      <c r="AW619" s="200"/>
      <c r="AX619" s="200"/>
      <c r="AY619" s="200"/>
      <c r="AZ619" s="139">
        <f t="shared" si="308"/>
        <v>1</v>
      </c>
      <c r="BA619" s="200"/>
      <c r="BB619" s="203"/>
      <c r="BC619" s="95"/>
      <c r="BD619" s="2"/>
      <c r="BE619" s="2"/>
    </row>
    <row r="620" spans="2:57" ht="43.9" customHeight="1" x14ac:dyDescent="0.25">
      <c r="B620" s="100">
        <f t="shared" si="307"/>
        <v>602</v>
      </c>
      <c r="C620" s="293" t="s">
        <v>4391</v>
      </c>
      <c r="D620" s="265" t="s">
        <v>324</v>
      </c>
      <c r="E620" s="284">
        <v>44904</v>
      </c>
      <c r="F620" s="268" t="s">
        <v>4264</v>
      </c>
      <c r="G620" s="265"/>
      <c r="H620" s="188" t="s">
        <v>4392</v>
      </c>
      <c r="I620" s="265"/>
      <c r="J620" s="188" t="s">
        <v>4393</v>
      </c>
      <c r="K620" s="342">
        <v>198000000</v>
      </c>
      <c r="L620" s="282"/>
      <c r="M620" s="265"/>
      <c r="N620" s="302"/>
      <c r="O620" s="265"/>
      <c r="P620" s="271"/>
      <c r="Q620" s="265"/>
      <c r="R620" s="265"/>
      <c r="S620" s="312"/>
      <c r="T620" s="280"/>
      <c r="U620" s="269"/>
      <c r="V620" s="284"/>
      <c r="W620" s="303"/>
      <c r="X620" s="303"/>
      <c r="Y620" s="265"/>
      <c r="Z620" s="265"/>
      <c r="AA620" s="272" t="s">
        <v>215</v>
      </c>
      <c r="AB620" s="265"/>
      <c r="AC620" s="304"/>
      <c r="AD620" s="285"/>
      <c r="AE620" s="285"/>
      <c r="AF620" s="305"/>
      <c r="AG620" s="306"/>
      <c r="AH620" s="307"/>
      <c r="AI620" s="265"/>
      <c r="AJ620" s="265"/>
      <c r="AK620" s="265"/>
      <c r="AL620" s="285"/>
      <c r="AM620" s="309"/>
      <c r="AN620" s="269"/>
      <c r="AO620" s="265"/>
      <c r="AP620" s="309"/>
      <c r="AQ620" s="289"/>
      <c r="AR620" s="269"/>
      <c r="AS620" s="277"/>
      <c r="AT620" s="260"/>
      <c r="AU620" s="260"/>
      <c r="AV620" s="200"/>
      <c r="AW620" s="200"/>
      <c r="AX620" s="200"/>
      <c r="AY620" s="200"/>
      <c r="AZ620" s="139">
        <f t="shared" si="308"/>
        <v>0</v>
      </c>
      <c r="BA620" s="200"/>
      <c r="BB620" s="203"/>
      <c r="BC620" s="95"/>
      <c r="BD620" s="2"/>
      <c r="BE620" s="2"/>
    </row>
    <row r="621" spans="2:57" ht="43.9" customHeight="1" x14ac:dyDescent="0.25">
      <c r="B621" s="100">
        <f t="shared" si="307"/>
        <v>603</v>
      </c>
      <c r="C621" s="293" t="s">
        <v>4394</v>
      </c>
      <c r="D621" s="265" t="s">
        <v>1559</v>
      </c>
      <c r="E621" s="272">
        <v>44904</v>
      </c>
      <c r="F621" s="268" t="s">
        <v>4264</v>
      </c>
      <c r="G621" s="289" t="s">
        <v>4395</v>
      </c>
      <c r="H621" s="265" t="s">
        <v>4396</v>
      </c>
      <c r="I621" s="265"/>
      <c r="J621" s="289" t="s">
        <v>4397</v>
      </c>
      <c r="K621" s="342">
        <v>49405696</v>
      </c>
      <c r="L621" s="292"/>
      <c r="M621" s="277" t="s">
        <v>4398</v>
      </c>
      <c r="N621" s="302" t="str">
        <f>MID(M621,5,3)</f>
        <v>IP-</v>
      </c>
      <c r="O621" s="277"/>
      <c r="P621" s="277"/>
      <c r="Q621" s="277"/>
      <c r="R621" s="277"/>
      <c r="S621" s="277"/>
      <c r="T621" s="111" t="s">
        <v>43</v>
      </c>
      <c r="U621" s="269" t="s">
        <v>921</v>
      </c>
      <c r="V621" s="290">
        <v>44907</v>
      </c>
      <c r="W621" s="277" t="e">
        <f>+$D$4-E621</f>
        <v>#VALUE!</v>
      </c>
      <c r="X621" s="277" t="e">
        <f>$D$4-V621</f>
        <v>#VALUE!</v>
      </c>
      <c r="Y621" s="277"/>
      <c r="Z621" s="277" t="s">
        <v>168</v>
      </c>
      <c r="AA621" s="272" t="s">
        <v>215</v>
      </c>
      <c r="AB621" s="290">
        <v>44924</v>
      </c>
      <c r="AC621" s="304" t="s">
        <v>4399</v>
      </c>
      <c r="AD621" s="290">
        <v>44924</v>
      </c>
      <c r="AE621" s="277"/>
      <c r="AF621" s="265" t="str">
        <f>+IF(AD621="","",TEXT(AD621,"mmm"))</f>
        <v>dic</v>
      </c>
      <c r="AG621" s="306">
        <f>+AD621-E621</f>
        <v>20</v>
      </c>
      <c r="AH621" s="307">
        <f>+AD621-V621</f>
        <v>17</v>
      </c>
      <c r="AI621" s="277"/>
      <c r="AJ621" s="277"/>
      <c r="AK621" s="265" t="s">
        <v>4400</v>
      </c>
      <c r="AL621" s="290">
        <v>44918</v>
      </c>
      <c r="AM621" s="309">
        <v>49405426</v>
      </c>
      <c r="AN621" s="269" t="s">
        <v>4401</v>
      </c>
      <c r="AO621" s="277" t="s">
        <v>4402</v>
      </c>
      <c r="AP621" s="309">
        <f>+K621-AM621</f>
        <v>270</v>
      </c>
      <c r="AQ621" s="289"/>
      <c r="AR621" s="289"/>
      <c r="AS621" s="277"/>
      <c r="AT621" s="260"/>
      <c r="AU621" s="260"/>
      <c r="AV621" s="200"/>
      <c r="AW621" s="200"/>
      <c r="AX621" s="200"/>
      <c r="AY621" s="200"/>
      <c r="AZ621" s="139">
        <f t="shared" si="308"/>
        <v>0</v>
      </c>
      <c r="BA621" s="200"/>
      <c r="BB621" s="203"/>
      <c r="BC621" s="95"/>
      <c r="BD621" s="2"/>
      <c r="BE621" s="2"/>
    </row>
    <row r="622" spans="2:57" ht="43.9" customHeight="1" x14ac:dyDescent="0.25">
      <c r="B622" s="100">
        <f t="shared" si="307"/>
        <v>604</v>
      </c>
      <c r="C622" s="293" t="s">
        <v>4403</v>
      </c>
      <c r="D622" s="312" t="s">
        <v>32</v>
      </c>
      <c r="E622" s="272">
        <v>44908</v>
      </c>
      <c r="F622" s="268" t="s">
        <v>4264</v>
      </c>
      <c r="G622" s="289" t="s">
        <v>146</v>
      </c>
      <c r="H622" s="265" t="s">
        <v>4404</v>
      </c>
      <c r="I622" s="265"/>
      <c r="J622" s="289" t="s">
        <v>4405</v>
      </c>
      <c r="K622" s="342">
        <v>0</v>
      </c>
      <c r="L622" s="292"/>
      <c r="M622" s="277"/>
      <c r="N622" s="302" t="str">
        <f>MID(M622,5,3)</f>
        <v/>
      </c>
      <c r="O622" s="277"/>
      <c r="P622" s="277"/>
      <c r="Q622" s="277"/>
      <c r="R622" s="277"/>
      <c r="S622" s="277"/>
      <c r="T622" s="280" t="str">
        <f>(IF(N622="IPU","INVITACION PUBLICA",(IF(N622="IP-","INVITACION PRIVADA"," "))))</f>
        <v xml:space="preserve"> </v>
      </c>
      <c r="U622" s="269" t="s">
        <v>151</v>
      </c>
      <c r="V622" s="290">
        <v>44908</v>
      </c>
      <c r="W622" s="277" t="e">
        <f>+$D$4-E622</f>
        <v>#VALUE!</v>
      </c>
      <c r="X622" s="277" t="e">
        <f>$D$4-V622</f>
        <v>#VALUE!</v>
      </c>
      <c r="Y622" s="277"/>
      <c r="Z622" s="277" t="s">
        <v>4406</v>
      </c>
      <c r="AA622" s="272" t="s">
        <v>215</v>
      </c>
      <c r="AB622" s="290">
        <v>44944</v>
      </c>
      <c r="AC622" s="304"/>
      <c r="AD622" s="277"/>
      <c r="AE622" s="277"/>
      <c r="AF622" s="265" t="str">
        <f>+IF(AD622="","",TEXT(AD622,"mmm"))</f>
        <v/>
      </c>
      <c r="AG622" s="306">
        <f>+AD622-E622</f>
        <v>-44908</v>
      </c>
      <c r="AH622" s="307">
        <f>+AD622-V622</f>
        <v>-44908</v>
      </c>
      <c r="AI622" s="277"/>
      <c r="AJ622" s="277"/>
      <c r="AK622" s="277"/>
      <c r="AL622" s="277"/>
      <c r="AM622" s="309"/>
      <c r="AN622" s="269"/>
      <c r="AO622" s="277"/>
      <c r="AP622" s="309"/>
      <c r="AQ622" s="289"/>
      <c r="AR622" s="289"/>
      <c r="AS622" s="277"/>
      <c r="AT622" s="260"/>
      <c r="AU622" s="260"/>
      <c r="AV622" s="200"/>
      <c r="AW622" s="200"/>
      <c r="AX622" s="200"/>
      <c r="AY622" s="200"/>
      <c r="AZ622" s="139">
        <f t="shared" si="308"/>
        <v>1</v>
      </c>
      <c r="BA622" s="200"/>
      <c r="BB622" s="203"/>
      <c r="BC622" s="95"/>
      <c r="BD622" s="2"/>
      <c r="BE622" s="2"/>
    </row>
    <row r="623" spans="2:57" ht="43.9" customHeight="1" x14ac:dyDescent="0.25">
      <c r="B623" s="100">
        <f t="shared" si="307"/>
        <v>605</v>
      </c>
      <c r="C623" s="293" t="s">
        <v>246</v>
      </c>
      <c r="D623" s="265" t="s">
        <v>28</v>
      </c>
      <c r="E623" s="272">
        <v>44909</v>
      </c>
      <c r="F623" s="268" t="s">
        <v>4264</v>
      </c>
      <c r="G623" s="289" t="s">
        <v>4407</v>
      </c>
      <c r="H623" s="265" t="s">
        <v>4408</v>
      </c>
      <c r="I623" s="265" t="s">
        <v>1224</v>
      </c>
      <c r="J623" s="289" t="s">
        <v>4409</v>
      </c>
      <c r="K623" s="342">
        <v>802858452</v>
      </c>
      <c r="L623" s="292"/>
      <c r="M623" s="277"/>
      <c r="N623" s="302" t="str">
        <f>MID(M623,5,3)</f>
        <v/>
      </c>
      <c r="O623" s="277"/>
      <c r="P623" s="277"/>
      <c r="Q623" s="277"/>
      <c r="R623" s="277"/>
      <c r="S623" s="277"/>
      <c r="T623" s="280" t="str">
        <f>(IF(N623="IPU","INVITACION PUBLICA",(IF(N623="IP-","INVITACION PRIVADA"," "))))</f>
        <v xml:space="preserve"> </v>
      </c>
      <c r="U623" s="269" t="s">
        <v>4309</v>
      </c>
      <c r="V623" s="290">
        <v>44909</v>
      </c>
      <c r="W623" s="277" t="e">
        <f>+$D$4-E623</f>
        <v>#VALUE!</v>
      </c>
      <c r="X623" s="277" t="e">
        <f>$D$4-V623</f>
        <v>#VALUE!</v>
      </c>
      <c r="Y623" s="277"/>
      <c r="Z623" s="277" t="s">
        <v>168</v>
      </c>
      <c r="AA623" s="272" t="s">
        <v>215</v>
      </c>
      <c r="AB623" s="290">
        <v>44917</v>
      </c>
      <c r="AC623" s="304"/>
      <c r="AD623" s="290">
        <v>44924</v>
      </c>
      <c r="AE623" s="277"/>
      <c r="AF623" s="265" t="str">
        <f>+IF(AD623="","",TEXT(AD623,"mmm"))</f>
        <v>dic</v>
      </c>
      <c r="AG623" s="306">
        <f>+AD623-E623</f>
        <v>15</v>
      </c>
      <c r="AH623" s="307">
        <f>+AD623-V623</f>
        <v>15</v>
      </c>
      <c r="AI623" s="277"/>
      <c r="AJ623" s="277"/>
      <c r="AK623" s="277" t="s">
        <v>4410</v>
      </c>
      <c r="AL623" s="290">
        <v>44923</v>
      </c>
      <c r="AM623" s="309">
        <v>776330557</v>
      </c>
      <c r="AN623" s="269" t="s">
        <v>4270</v>
      </c>
      <c r="AO623" s="277"/>
      <c r="AP623" s="309">
        <f>+K623-AM623</f>
        <v>26527895</v>
      </c>
      <c r="AQ623" s="289"/>
      <c r="AR623" s="289"/>
      <c r="AS623" s="277"/>
      <c r="AT623" s="260"/>
      <c r="AU623" s="260"/>
      <c r="AV623" s="200"/>
      <c r="AW623" s="200"/>
      <c r="AX623" s="200"/>
      <c r="AY623" s="200"/>
      <c r="AZ623" s="139">
        <f t="shared" si="308"/>
        <v>1</v>
      </c>
      <c r="BA623" s="200"/>
      <c r="BB623" s="203"/>
      <c r="BC623" s="95"/>
      <c r="BD623" s="2"/>
      <c r="BE623" s="2"/>
    </row>
    <row r="624" spans="2:57" ht="43.9" customHeight="1" x14ac:dyDescent="0.25">
      <c r="B624" s="100">
        <f t="shared" si="307"/>
        <v>606</v>
      </c>
      <c r="C624" s="293" t="s">
        <v>4411</v>
      </c>
      <c r="D624" s="265" t="s">
        <v>28</v>
      </c>
      <c r="E624" s="272">
        <v>44909</v>
      </c>
      <c r="F624" s="268" t="s">
        <v>4264</v>
      </c>
      <c r="G624" s="330">
        <v>2022</v>
      </c>
      <c r="H624" s="265" t="s">
        <v>4412</v>
      </c>
      <c r="I624" s="265" t="s">
        <v>1224</v>
      </c>
      <c r="J624" s="342" t="s">
        <v>4413</v>
      </c>
      <c r="K624" s="326">
        <v>802858452</v>
      </c>
      <c r="L624" s="277"/>
      <c r="M624" s="277"/>
      <c r="N624" s="302" t="str">
        <f>MID(M624,5,3)</f>
        <v/>
      </c>
      <c r="O624" s="277"/>
      <c r="P624" s="277"/>
      <c r="Q624" s="277"/>
      <c r="R624" s="277"/>
      <c r="S624" s="289"/>
      <c r="T624" s="203" t="s">
        <v>230</v>
      </c>
      <c r="U624" s="269" t="s">
        <v>4309</v>
      </c>
      <c r="V624" s="290">
        <v>44909</v>
      </c>
      <c r="W624" s="277" t="e">
        <f>+$D$4-E624</f>
        <v>#VALUE!</v>
      </c>
      <c r="X624" s="277" t="e">
        <f>$D$4-V624</f>
        <v>#VALUE!</v>
      </c>
      <c r="Y624" s="277"/>
      <c r="Z624" s="265" t="s">
        <v>215</v>
      </c>
      <c r="AA624" s="265" t="s">
        <v>169</v>
      </c>
      <c r="AB624" s="333">
        <v>44917</v>
      </c>
      <c r="AC624" s="304"/>
      <c r="AD624" s="272">
        <v>44923</v>
      </c>
      <c r="AE624" s="272" t="s">
        <v>4264</v>
      </c>
      <c r="AF624" s="265" t="str">
        <f>+IF(AD624="","",TEXT(AD624,"mmm"))</f>
        <v>dic</v>
      </c>
      <c r="AG624" s="306">
        <f>+AD624-E624</f>
        <v>14</v>
      </c>
      <c r="AH624" s="307">
        <f>+AD624-V624</f>
        <v>14</v>
      </c>
      <c r="AI624" s="277"/>
      <c r="AJ624" s="277"/>
      <c r="AK624" s="265" t="s">
        <v>1224</v>
      </c>
      <c r="AL624" s="309">
        <v>44923</v>
      </c>
      <c r="AM624" s="292">
        <v>776330557</v>
      </c>
      <c r="AN624" s="269" t="s">
        <v>4270</v>
      </c>
      <c r="AO624" s="309"/>
      <c r="AP624" s="334">
        <f>+K624-AM624</f>
        <v>26527895</v>
      </c>
      <c r="AQ624" s="289"/>
      <c r="AR624" s="277"/>
      <c r="AS624" s="260"/>
      <c r="AT624" s="260"/>
      <c r="AU624" s="200"/>
      <c r="AV624" s="200"/>
      <c r="AW624" s="200"/>
      <c r="AX624" s="200"/>
      <c r="AY624" s="200"/>
      <c r="AZ624" s="139">
        <f t="shared" si="308"/>
        <v>1</v>
      </c>
      <c r="BA624" s="203"/>
      <c r="BB624" s="217"/>
      <c r="BC624" s="2"/>
      <c r="BD624" s="2"/>
      <c r="BE624" s="2"/>
    </row>
    <row r="625" spans="2:58" ht="43.9" customHeight="1" x14ac:dyDescent="0.25">
      <c r="B625" s="100">
        <f t="shared" si="307"/>
        <v>607</v>
      </c>
      <c r="C625" s="293" t="s">
        <v>4414</v>
      </c>
      <c r="D625" s="312" t="s">
        <v>32</v>
      </c>
      <c r="E625" s="272">
        <v>44915</v>
      </c>
      <c r="F625" s="268" t="s">
        <v>4264</v>
      </c>
      <c r="G625" s="289" t="s">
        <v>4076</v>
      </c>
      <c r="H625" s="265" t="s">
        <v>4415</v>
      </c>
      <c r="I625" s="265"/>
      <c r="J625" s="289" t="s">
        <v>4416</v>
      </c>
      <c r="K625" s="342" t="s">
        <v>146</v>
      </c>
      <c r="L625" s="292"/>
      <c r="M625" s="277"/>
      <c r="N625" s="302" t="str">
        <f t="shared" ref="N625:N630" si="319">MID(M625,5,3)</f>
        <v/>
      </c>
      <c r="O625" s="277"/>
      <c r="P625" s="277"/>
      <c r="Q625" s="277"/>
      <c r="R625" s="277"/>
      <c r="S625" s="277"/>
      <c r="T625" s="280" t="str">
        <f t="shared" ref="T625:T627" si="320">(IF(N625="IPU","INVITACION PUBLICA",(IF(N625="IP-","INVITACION PRIVADA"," "))))</f>
        <v xml:space="preserve"> </v>
      </c>
      <c r="U625" s="269"/>
      <c r="V625" s="290"/>
      <c r="W625" s="277" t="e">
        <f t="shared" ref="W625:W631" si="321">+$D$4-E625</f>
        <v>#VALUE!</v>
      </c>
      <c r="X625" s="277" t="e">
        <f t="shared" ref="X625:X631" si="322">$D$4-V625</f>
        <v>#VALUE!</v>
      </c>
      <c r="Y625" s="277"/>
      <c r="Z625" s="277"/>
      <c r="AA625" s="272" t="s">
        <v>215</v>
      </c>
      <c r="AB625" s="272"/>
      <c r="AC625" s="304"/>
      <c r="AD625" s="290"/>
      <c r="AE625" s="277"/>
      <c r="AF625" s="265" t="str">
        <f t="shared" ref="AF625:AF631" si="323">+IF(AD625="","",TEXT(AD625,"mmm"))</f>
        <v/>
      </c>
      <c r="AG625" s="306">
        <f t="shared" ref="AG625:AG631" si="324">+AD625-E625</f>
        <v>-44915</v>
      </c>
      <c r="AH625" s="307">
        <f t="shared" ref="AH625:AH631" si="325">+AD625-V625</f>
        <v>0</v>
      </c>
      <c r="AI625" s="277"/>
      <c r="AJ625" s="277"/>
      <c r="AK625" s="277"/>
      <c r="AL625" s="290"/>
      <c r="AM625" s="309"/>
      <c r="AN625" s="269"/>
      <c r="AO625" s="277"/>
      <c r="AP625" s="309"/>
      <c r="AQ625" s="289"/>
      <c r="AR625" s="289"/>
      <c r="AS625" s="277"/>
      <c r="AT625" s="260"/>
      <c r="AU625" s="260"/>
      <c r="AV625" s="200"/>
      <c r="AW625" s="200"/>
      <c r="AX625" s="200"/>
      <c r="AY625" s="200"/>
      <c r="AZ625" s="139">
        <f t="shared" si="308"/>
        <v>1</v>
      </c>
      <c r="BA625" s="200"/>
      <c r="BB625" s="203"/>
      <c r="BC625" s="95"/>
      <c r="BD625" s="2"/>
      <c r="BE625" s="2"/>
    </row>
    <row r="626" spans="2:58" ht="43.9" customHeight="1" x14ac:dyDescent="0.25">
      <c r="B626" s="100">
        <f t="shared" si="307"/>
        <v>608</v>
      </c>
      <c r="C626" s="293" t="s">
        <v>4355</v>
      </c>
      <c r="D626" s="265" t="s">
        <v>28</v>
      </c>
      <c r="E626" s="272">
        <v>44922</v>
      </c>
      <c r="F626" s="268" t="s">
        <v>4264</v>
      </c>
      <c r="G626" s="289" t="s">
        <v>4076</v>
      </c>
      <c r="H626" s="265" t="s">
        <v>4356</v>
      </c>
      <c r="I626" s="265"/>
      <c r="J626" s="289" t="s">
        <v>4357</v>
      </c>
      <c r="K626" s="342">
        <v>9647132101</v>
      </c>
      <c r="L626" s="292"/>
      <c r="M626" s="277"/>
      <c r="N626" s="302" t="str">
        <f t="shared" si="319"/>
        <v/>
      </c>
      <c r="O626" s="277"/>
      <c r="P626" s="277"/>
      <c r="Q626" s="277"/>
      <c r="R626" s="277"/>
      <c r="S626" s="277"/>
      <c r="T626" s="280" t="str">
        <f t="shared" si="320"/>
        <v xml:space="preserve"> </v>
      </c>
      <c r="U626" s="269" t="s">
        <v>187</v>
      </c>
      <c r="V626" s="290"/>
      <c r="W626" s="277" t="e">
        <f t="shared" si="321"/>
        <v>#VALUE!</v>
      </c>
      <c r="X626" s="277" t="e">
        <f t="shared" si="322"/>
        <v>#VALUE!</v>
      </c>
      <c r="Y626" s="277"/>
      <c r="Z626" s="277" t="s">
        <v>152</v>
      </c>
      <c r="AA626" s="265" t="s">
        <v>153</v>
      </c>
      <c r="AB626" s="290"/>
      <c r="AC626" s="304"/>
      <c r="AD626" s="290"/>
      <c r="AE626" s="277"/>
      <c r="AF626" s="265" t="str">
        <f t="shared" si="323"/>
        <v/>
      </c>
      <c r="AG626" s="306">
        <f t="shared" si="324"/>
        <v>-44922</v>
      </c>
      <c r="AH626" s="307">
        <f t="shared" si="325"/>
        <v>0</v>
      </c>
      <c r="AI626" s="277"/>
      <c r="AJ626" s="277"/>
      <c r="AK626" s="277"/>
      <c r="AL626" s="277"/>
      <c r="AM626" s="309"/>
      <c r="AN626" s="269"/>
      <c r="AO626" s="277"/>
      <c r="AP626" s="309"/>
      <c r="AQ626" s="289"/>
      <c r="AR626" s="289"/>
      <c r="AS626" s="277"/>
      <c r="AT626" s="260"/>
      <c r="AU626" s="260"/>
      <c r="AV626" s="200"/>
      <c r="AW626" s="200"/>
      <c r="AX626" s="200"/>
      <c r="AY626" s="200"/>
      <c r="AZ626" s="139">
        <f t="shared" si="308"/>
        <v>1</v>
      </c>
      <c r="BA626" s="200"/>
      <c r="BB626" s="203"/>
      <c r="BC626" s="95"/>
      <c r="BD626" s="2"/>
      <c r="BE626" s="2"/>
    </row>
    <row r="627" spans="2:58" ht="43.9" customHeight="1" x14ac:dyDescent="0.25">
      <c r="B627" s="100">
        <f t="shared" si="307"/>
        <v>609</v>
      </c>
      <c r="C627" s="293" t="s">
        <v>4358</v>
      </c>
      <c r="D627" s="265" t="s">
        <v>28</v>
      </c>
      <c r="E627" s="272">
        <v>44922</v>
      </c>
      <c r="F627" s="268" t="s">
        <v>4264</v>
      </c>
      <c r="G627" s="289" t="s">
        <v>4076</v>
      </c>
      <c r="H627" s="265" t="s">
        <v>4359</v>
      </c>
      <c r="I627" s="265"/>
      <c r="J627" s="289" t="s">
        <v>4360</v>
      </c>
      <c r="K627" s="342">
        <v>20412408515</v>
      </c>
      <c r="L627" s="292"/>
      <c r="M627" s="277"/>
      <c r="N627" s="302" t="str">
        <f t="shared" si="319"/>
        <v/>
      </c>
      <c r="O627" s="277"/>
      <c r="P627" s="277"/>
      <c r="Q627" s="277"/>
      <c r="R627" s="277"/>
      <c r="S627" s="277"/>
      <c r="T627" s="280" t="str">
        <f t="shared" si="320"/>
        <v xml:space="preserve"> </v>
      </c>
      <c r="U627" s="269" t="s">
        <v>187</v>
      </c>
      <c r="V627" s="290"/>
      <c r="W627" s="277" t="e">
        <f t="shared" si="321"/>
        <v>#VALUE!</v>
      </c>
      <c r="X627" s="277" t="e">
        <f t="shared" si="322"/>
        <v>#VALUE!</v>
      </c>
      <c r="Y627" s="277"/>
      <c r="Z627" s="277" t="s">
        <v>152</v>
      </c>
      <c r="AA627" s="265" t="s">
        <v>153</v>
      </c>
      <c r="AB627" s="290"/>
      <c r="AC627" s="304"/>
      <c r="AD627" s="290"/>
      <c r="AE627" s="277"/>
      <c r="AF627" s="265" t="str">
        <f t="shared" si="323"/>
        <v/>
      </c>
      <c r="AG627" s="306">
        <f t="shared" si="324"/>
        <v>-44922</v>
      </c>
      <c r="AH627" s="307">
        <f t="shared" si="325"/>
        <v>0</v>
      </c>
      <c r="AI627" s="277"/>
      <c r="AJ627" s="277"/>
      <c r="AK627" s="277"/>
      <c r="AL627" s="277"/>
      <c r="AM627" s="309"/>
      <c r="AN627" s="269"/>
      <c r="AO627" s="277"/>
      <c r="AP627" s="309"/>
      <c r="AQ627" s="289"/>
      <c r="AR627" s="289"/>
      <c r="AS627" s="277"/>
      <c r="AT627" s="260"/>
      <c r="AU627" s="260"/>
      <c r="AV627" s="200"/>
      <c r="AW627" s="200"/>
      <c r="AX627" s="200"/>
      <c r="AY627" s="200"/>
      <c r="AZ627" s="139">
        <f t="shared" si="308"/>
        <v>1</v>
      </c>
      <c r="BA627" s="200"/>
      <c r="BB627" s="203"/>
      <c r="BC627" s="95"/>
      <c r="BD627" s="2"/>
      <c r="BE627" s="2"/>
    </row>
    <row r="628" spans="2:58" ht="43.9" customHeight="1" x14ac:dyDescent="0.25">
      <c r="B628" s="100">
        <f t="shared" si="307"/>
        <v>610</v>
      </c>
      <c r="C628" s="293" t="s">
        <v>4417</v>
      </c>
      <c r="D628" s="265" t="s">
        <v>28</v>
      </c>
      <c r="E628" s="272">
        <v>44923</v>
      </c>
      <c r="F628" s="268" t="s">
        <v>4264</v>
      </c>
      <c r="G628" s="289" t="s">
        <v>4076</v>
      </c>
      <c r="H628" s="265" t="s">
        <v>4359</v>
      </c>
      <c r="I628" s="265"/>
      <c r="J628" s="289" t="s">
        <v>4360</v>
      </c>
      <c r="K628" s="342">
        <v>20412408515</v>
      </c>
      <c r="L628" s="292"/>
      <c r="M628" s="277"/>
      <c r="N628" s="302" t="str">
        <f t="shared" si="319"/>
        <v/>
      </c>
      <c r="O628" s="277"/>
      <c r="P628" s="277"/>
      <c r="Q628" s="277"/>
      <c r="R628" s="277"/>
      <c r="S628" s="277"/>
      <c r="T628" s="111" t="s">
        <v>40</v>
      </c>
      <c r="U628" s="111"/>
      <c r="V628" s="290"/>
      <c r="W628" s="277" t="e">
        <f t="shared" si="321"/>
        <v>#VALUE!</v>
      </c>
      <c r="X628" s="277" t="e">
        <f t="shared" si="322"/>
        <v>#VALUE!</v>
      </c>
      <c r="Y628" s="277"/>
      <c r="Z628" s="277"/>
      <c r="AA628" s="272" t="s">
        <v>3174</v>
      </c>
      <c r="AB628" s="272"/>
      <c r="AC628" s="304"/>
      <c r="AD628" s="290"/>
      <c r="AE628" s="277"/>
      <c r="AF628" s="265" t="str">
        <f t="shared" si="323"/>
        <v/>
      </c>
      <c r="AG628" s="306">
        <f t="shared" si="324"/>
        <v>-44923</v>
      </c>
      <c r="AH628" s="307">
        <f t="shared" si="325"/>
        <v>0</v>
      </c>
      <c r="AI628" s="277"/>
      <c r="AJ628" s="277"/>
      <c r="AK628" s="277"/>
      <c r="AL628" s="277"/>
      <c r="AM628" s="309"/>
      <c r="AN628" s="269"/>
      <c r="AO628" s="277"/>
      <c r="AP628" s="309"/>
      <c r="AQ628" s="289"/>
      <c r="AR628" s="289"/>
      <c r="AS628" s="277"/>
      <c r="AT628" s="260"/>
      <c r="AU628" s="260"/>
      <c r="AV628" s="200"/>
      <c r="AW628" s="200"/>
      <c r="AX628" s="200"/>
      <c r="AY628" s="200"/>
      <c r="AZ628" s="139">
        <f t="shared" si="308"/>
        <v>1</v>
      </c>
      <c r="BA628" s="200"/>
      <c r="BB628" s="203"/>
      <c r="BC628" s="95"/>
      <c r="BD628" s="2"/>
      <c r="BE628" s="2"/>
    </row>
    <row r="629" spans="2:58" ht="43.9" customHeight="1" x14ac:dyDescent="0.25">
      <c r="B629" s="100">
        <f t="shared" si="307"/>
        <v>611</v>
      </c>
      <c r="C629" s="293" t="s">
        <v>4418</v>
      </c>
      <c r="D629" s="265" t="s">
        <v>28</v>
      </c>
      <c r="E629" s="272">
        <v>44923</v>
      </c>
      <c r="F629" s="268" t="s">
        <v>4264</v>
      </c>
      <c r="G629" s="289" t="s">
        <v>4076</v>
      </c>
      <c r="H629" s="265" t="s">
        <v>4356</v>
      </c>
      <c r="I629" s="265"/>
      <c r="J629" s="289" t="s">
        <v>4419</v>
      </c>
      <c r="K629" s="342">
        <v>9647132101</v>
      </c>
      <c r="L629" s="292"/>
      <c r="M629" s="277"/>
      <c r="N629" s="302" t="str">
        <f t="shared" si="319"/>
        <v/>
      </c>
      <c r="O629" s="277"/>
      <c r="P629" s="277"/>
      <c r="Q629" s="277"/>
      <c r="R629" s="277"/>
      <c r="S629" s="277"/>
      <c r="T629" s="111" t="s">
        <v>40</v>
      </c>
      <c r="U629" s="111"/>
      <c r="V629" s="290"/>
      <c r="W629" s="277" t="e">
        <f t="shared" si="321"/>
        <v>#VALUE!</v>
      </c>
      <c r="X629" s="277" t="e">
        <f t="shared" si="322"/>
        <v>#VALUE!</v>
      </c>
      <c r="Y629" s="277"/>
      <c r="Z629" s="277"/>
      <c r="AA629" s="272" t="s">
        <v>3174</v>
      </c>
      <c r="AB629" s="272"/>
      <c r="AC629" s="304"/>
      <c r="AD629" s="290"/>
      <c r="AE629" s="277"/>
      <c r="AF629" s="265" t="str">
        <f t="shared" si="323"/>
        <v/>
      </c>
      <c r="AG629" s="306">
        <f t="shared" si="324"/>
        <v>-44923</v>
      </c>
      <c r="AH629" s="307">
        <f t="shared" si="325"/>
        <v>0</v>
      </c>
      <c r="AI629" s="277"/>
      <c r="AJ629" s="277"/>
      <c r="AK629" s="277"/>
      <c r="AL629" s="277"/>
      <c r="AM629" s="309"/>
      <c r="AN629" s="269"/>
      <c r="AO629" s="277"/>
      <c r="AP629" s="309"/>
      <c r="AQ629" s="289"/>
      <c r="AR629" s="289"/>
      <c r="AS629" s="277"/>
      <c r="AT629" s="260"/>
      <c r="AU629" s="260"/>
      <c r="AV629" s="200"/>
      <c r="AW629" s="200"/>
      <c r="AX629" s="200"/>
      <c r="AY629" s="200"/>
      <c r="AZ629" s="139">
        <f t="shared" si="308"/>
        <v>1</v>
      </c>
      <c r="BA629" s="200"/>
      <c r="BB629" s="203"/>
      <c r="BC629" s="95"/>
      <c r="BD629" s="2"/>
      <c r="BE629" s="2"/>
    </row>
    <row r="630" spans="2:58" ht="43.9" customHeight="1" x14ac:dyDescent="0.25">
      <c r="B630" s="100">
        <f t="shared" si="307"/>
        <v>612</v>
      </c>
      <c r="C630" s="293" t="s">
        <v>4420</v>
      </c>
      <c r="D630" s="265" t="s">
        <v>28</v>
      </c>
      <c r="E630" s="272">
        <v>44924</v>
      </c>
      <c r="F630" s="268" t="s">
        <v>4264</v>
      </c>
      <c r="G630" s="289" t="s">
        <v>4076</v>
      </c>
      <c r="H630" s="265" t="s">
        <v>4421</v>
      </c>
      <c r="I630" s="265"/>
      <c r="J630" s="289" t="s">
        <v>4422</v>
      </c>
      <c r="K630" s="342">
        <v>663117980</v>
      </c>
      <c r="L630" s="292"/>
      <c r="M630" s="277"/>
      <c r="N630" s="302" t="str">
        <f t="shared" si="319"/>
        <v/>
      </c>
      <c r="O630" s="277"/>
      <c r="P630" s="277"/>
      <c r="Q630" s="277"/>
      <c r="R630" s="277"/>
      <c r="S630" s="277"/>
      <c r="T630" s="111" t="s">
        <v>40</v>
      </c>
      <c r="U630" s="111"/>
      <c r="V630" s="290"/>
      <c r="W630" s="277" t="e">
        <f t="shared" si="321"/>
        <v>#VALUE!</v>
      </c>
      <c r="X630" s="277" t="e">
        <f t="shared" si="322"/>
        <v>#VALUE!</v>
      </c>
      <c r="Y630" s="277"/>
      <c r="Z630" s="277"/>
      <c r="AA630" s="272" t="s">
        <v>3174</v>
      </c>
      <c r="AB630" s="272"/>
      <c r="AC630" s="304"/>
      <c r="AD630" s="290"/>
      <c r="AE630" s="277"/>
      <c r="AF630" s="265" t="str">
        <f t="shared" si="323"/>
        <v/>
      </c>
      <c r="AG630" s="306">
        <f t="shared" si="324"/>
        <v>-44924</v>
      </c>
      <c r="AH630" s="307">
        <f t="shared" si="325"/>
        <v>0</v>
      </c>
      <c r="AI630" s="277"/>
      <c r="AJ630" s="277"/>
      <c r="AK630" s="277"/>
      <c r="AL630" s="277"/>
      <c r="AM630" s="309"/>
      <c r="AN630" s="269"/>
      <c r="AO630" s="277"/>
      <c r="AP630" s="309"/>
      <c r="AQ630" s="289"/>
      <c r="AR630" s="289"/>
      <c r="AS630" s="277"/>
      <c r="AT630" s="260"/>
      <c r="AU630" s="260"/>
      <c r="AV630" s="200"/>
      <c r="AW630" s="200"/>
      <c r="AX630" s="200"/>
      <c r="AY630" s="200"/>
      <c r="AZ630" s="139">
        <f t="shared" si="308"/>
        <v>1</v>
      </c>
      <c r="BA630" s="200"/>
      <c r="BB630" s="203"/>
      <c r="BC630" s="95"/>
      <c r="BD630" s="2"/>
      <c r="BE630" s="2"/>
    </row>
    <row r="631" spans="2:58" ht="43.9" customHeight="1" x14ac:dyDescent="0.25">
      <c r="B631" s="100">
        <f t="shared" si="307"/>
        <v>613</v>
      </c>
      <c r="C631" s="293" t="s">
        <v>4423</v>
      </c>
      <c r="D631" s="265" t="s">
        <v>28</v>
      </c>
      <c r="E631" s="272">
        <v>44924</v>
      </c>
      <c r="F631" s="268" t="s">
        <v>4264</v>
      </c>
      <c r="G631" s="289" t="s">
        <v>4076</v>
      </c>
      <c r="H631" s="265" t="s">
        <v>4424</v>
      </c>
      <c r="I631" s="265"/>
      <c r="J631" s="289" t="s">
        <v>4425</v>
      </c>
      <c r="K631" s="342">
        <v>1477364678</v>
      </c>
      <c r="L631" s="289"/>
      <c r="M631" s="277"/>
      <c r="N631" s="277"/>
      <c r="O631" s="277"/>
      <c r="P631" s="277"/>
      <c r="Q631" s="277"/>
      <c r="R631" s="277"/>
      <c r="S631" s="277"/>
      <c r="T631" s="111" t="s">
        <v>40</v>
      </c>
      <c r="U631" s="111"/>
      <c r="V631" s="277"/>
      <c r="W631" s="277" t="e">
        <f t="shared" si="321"/>
        <v>#VALUE!</v>
      </c>
      <c r="X631" s="277" t="e">
        <f t="shared" si="322"/>
        <v>#VALUE!</v>
      </c>
      <c r="Y631" s="277"/>
      <c r="Z631" s="289"/>
      <c r="AA631" s="272" t="s">
        <v>3174</v>
      </c>
      <c r="AB631" s="265"/>
      <c r="AC631" s="304"/>
      <c r="AD631" s="277"/>
      <c r="AE631" s="277"/>
      <c r="AF631" s="265" t="str">
        <f t="shared" si="323"/>
        <v/>
      </c>
      <c r="AG631" s="306">
        <f t="shared" si="324"/>
        <v>-44924</v>
      </c>
      <c r="AH631" s="307">
        <f t="shared" si="325"/>
        <v>0</v>
      </c>
      <c r="AI631" s="277"/>
      <c r="AJ631" s="277"/>
      <c r="AK631" s="329"/>
      <c r="AL631" s="277"/>
      <c r="AM631" s="309"/>
      <c r="AN631" s="269"/>
      <c r="AO631" s="277"/>
      <c r="AP631" s="309"/>
      <c r="AQ631" s="289"/>
      <c r="AR631" s="289"/>
      <c r="AS631" s="277"/>
      <c r="AT631" s="260"/>
      <c r="AU631" s="260"/>
      <c r="AV631" s="200"/>
      <c r="AW631" s="200"/>
      <c r="AX631" s="200"/>
      <c r="AY631" s="200"/>
      <c r="AZ631" s="139">
        <f t="shared" si="308"/>
        <v>1</v>
      </c>
      <c r="BA631" s="200"/>
      <c r="BB631" s="203"/>
      <c r="BC631" s="95"/>
      <c r="BD631" s="2"/>
      <c r="BE631" s="2"/>
    </row>
    <row r="632" spans="2:58" ht="43.9" customHeight="1" x14ac:dyDescent="0.25">
      <c r="B632" s="100">
        <f t="shared" si="307"/>
        <v>614</v>
      </c>
      <c r="C632" s="293" t="s">
        <v>4311</v>
      </c>
      <c r="D632" s="265" t="s">
        <v>28</v>
      </c>
      <c r="E632" s="272">
        <v>44924</v>
      </c>
      <c r="F632" s="268" t="s">
        <v>4264</v>
      </c>
      <c r="G632" s="269" t="s">
        <v>4312</v>
      </c>
      <c r="H632" s="269" t="s">
        <v>4313</v>
      </c>
      <c r="I632" s="265" t="s">
        <v>1209</v>
      </c>
      <c r="J632" s="269" t="s">
        <v>1514</v>
      </c>
      <c r="K632" s="342">
        <v>2054746605</v>
      </c>
      <c r="L632" s="269"/>
      <c r="M632" s="265" t="s">
        <v>146</v>
      </c>
      <c r="N632" s="265"/>
      <c r="O632" s="265" t="s">
        <v>4314</v>
      </c>
      <c r="P632" s="265"/>
      <c r="Q632" s="265"/>
      <c r="R632" s="265"/>
      <c r="S632" s="265"/>
      <c r="T632" s="96" t="s">
        <v>230</v>
      </c>
      <c r="U632" s="269" t="s">
        <v>151</v>
      </c>
      <c r="V632" s="272">
        <v>44816</v>
      </c>
      <c r="W632" s="265">
        <v>133</v>
      </c>
      <c r="X632" s="265">
        <v>133</v>
      </c>
      <c r="Y632" s="265"/>
      <c r="Z632" s="269" t="s">
        <v>168</v>
      </c>
      <c r="AA632" s="265" t="s">
        <v>169</v>
      </c>
      <c r="AB632" s="265"/>
      <c r="AC632" s="269"/>
      <c r="AD632" s="272">
        <v>44925</v>
      </c>
      <c r="AE632" s="272" t="s">
        <v>4264</v>
      </c>
      <c r="AF632" s="265" t="s">
        <v>4264</v>
      </c>
      <c r="AG632" s="306">
        <v>109</v>
      </c>
      <c r="AH632" s="307">
        <v>109</v>
      </c>
      <c r="AI632" s="265" t="s">
        <v>146</v>
      </c>
      <c r="AJ632" s="265"/>
      <c r="AK632" s="269" t="s">
        <v>4315</v>
      </c>
      <c r="AL632" s="272">
        <v>44918</v>
      </c>
      <c r="AM632" s="309">
        <v>2054746605</v>
      </c>
      <c r="AN632" s="269" t="s">
        <v>4316</v>
      </c>
      <c r="AO632" s="265" t="s">
        <v>4317</v>
      </c>
      <c r="AP632" s="181">
        <f t="shared" ref="AP632" si="326">+K632-AM632</f>
        <v>0</v>
      </c>
      <c r="AQ632" s="269"/>
      <c r="AR632" s="269"/>
      <c r="AS632" s="265"/>
      <c r="AT632" s="260"/>
      <c r="AU632" s="200"/>
      <c r="AV632" s="260"/>
      <c r="AW632" s="200"/>
      <c r="AX632" s="200"/>
      <c r="AY632" s="167">
        <f>+AP632/K632</f>
        <v>0</v>
      </c>
      <c r="AZ632" s="139">
        <f t="shared" si="308"/>
        <v>1</v>
      </c>
      <c r="BA632" s="139">
        <f>IF(T632="Invitación Privada",1,IF(T632="Invitación Pública",2,0))</f>
        <v>0</v>
      </c>
      <c r="BB632" s="132">
        <f>IF(AA632="CONTRATADO",IF(BA632=1,NETWORKDAYS.INTL(E632,AD632,1,[1]FESTIVOS!$B$3:$B$10)-1,AD632-E632))-BD632</f>
        <v>1</v>
      </c>
      <c r="BC632" s="95"/>
      <c r="BD632" s="2"/>
      <c r="BE632" s="2"/>
    </row>
    <row r="633" spans="2:58" x14ac:dyDescent="0.25">
      <c r="K633" s="353"/>
      <c r="AL633" s="125"/>
      <c r="AM633" s="3"/>
      <c r="AO633" s="182"/>
      <c r="AP633" s="2"/>
      <c r="AR633" s="3"/>
      <c r="AS633" s="2"/>
      <c r="AU633" s="90"/>
      <c r="AX633" s="2"/>
      <c r="BB633" s="76"/>
      <c r="BC633" s="3"/>
      <c r="BD633" s="208"/>
      <c r="BE633" s="76"/>
      <c r="BF633" s="76"/>
    </row>
    <row r="634" spans="2:58" x14ac:dyDescent="0.25">
      <c r="K634" s="353"/>
      <c r="AL634" s="125"/>
      <c r="AM634" s="3"/>
      <c r="AO634" s="182"/>
      <c r="AP634" s="2"/>
      <c r="AR634" s="3"/>
      <c r="AS634" s="2"/>
      <c r="AU634" s="90"/>
      <c r="AX634" s="2"/>
      <c r="BB634" s="76"/>
      <c r="BC634" s="3"/>
      <c r="BD634" s="208"/>
      <c r="BE634" s="76"/>
      <c r="BF634" s="76"/>
    </row>
    <row r="635" spans="2:58" x14ac:dyDescent="0.25">
      <c r="AL635" s="125"/>
      <c r="AM635" s="3"/>
      <c r="AO635" s="182"/>
      <c r="AP635" s="2"/>
      <c r="AR635" s="3"/>
      <c r="AS635" s="2"/>
      <c r="AU635" s="90"/>
      <c r="AX635" s="2"/>
      <c r="BB635" s="76"/>
      <c r="BC635" s="3"/>
      <c r="BD635" s="208"/>
      <c r="BE635" s="76"/>
      <c r="BF635" s="76"/>
    </row>
    <row r="636" spans="2:58" x14ac:dyDescent="0.25">
      <c r="AL636" s="125"/>
      <c r="AM636" s="3"/>
      <c r="AO636" s="182"/>
      <c r="AP636" s="2"/>
      <c r="AR636" s="3"/>
      <c r="AS636" s="2"/>
      <c r="AU636" s="90"/>
      <c r="AX636" s="2"/>
      <c r="BB636" s="76"/>
      <c r="BC636" s="3"/>
      <c r="BD636" s="208"/>
      <c r="BE636" s="76"/>
      <c r="BF636" s="76"/>
    </row>
    <row r="637" spans="2:58" x14ac:dyDescent="0.25">
      <c r="AL637" s="125"/>
      <c r="AM637" s="3"/>
      <c r="AO637" s="182"/>
      <c r="AP637" s="2"/>
      <c r="AR637" s="3"/>
      <c r="AS637" s="2"/>
      <c r="AU637" s="90"/>
      <c r="AX637" s="2"/>
      <c r="BB637" s="76"/>
      <c r="BC637" s="3"/>
      <c r="BD637" s="208"/>
      <c r="BE637" s="76"/>
      <c r="BF637" s="76"/>
    </row>
    <row r="638" spans="2:58" x14ac:dyDescent="0.25">
      <c r="AL638" s="125"/>
      <c r="AM638" s="3"/>
      <c r="AO638" s="182"/>
      <c r="AP638" s="2"/>
      <c r="AR638" s="3"/>
      <c r="AS638" s="2"/>
      <c r="AU638" s="90"/>
      <c r="AX638" s="2"/>
      <c r="BB638" s="76"/>
      <c r="BC638" s="3"/>
      <c r="BD638" s="208"/>
      <c r="BE638" s="76"/>
      <c r="BF638" s="76"/>
    </row>
    <row r="639" spans="2:58" x14ac:dyDescent="0.25">
      <c r="AL639" s="125"/>
      <c r="AM639" s="3"/>
      <c r="AO639" s="182"/>
      <c r="AP639" s="2"/>
      <c r="AR639" s="3"/>
      <c r="AS639" s="2"/>
      <c r="AU639" s="90"/>
      <c r="AX639" s="2"/>
      <c r="BB639" s="76"/>
      <c r="BC639" s="3"/>
      <c r="BD639" s="208"/>
      <c r="BE639" s="76"/>
      <c r="BF639" s="76"/>
    </row>
    <row r="640" spans="2:58" x14ac:dyDescent="0.25">
      <c r="AL640" s="125"/>
      <c r="AM640" s="3"/>
      <c r="AO640" s="182"/>
      <c r="AP640" s="2"/>
      <c r="AR640" s="3"/>
      <c r="AS640" s="2"/>
      <c r="AU640" s="90"/>
      <c r="AX640" s="2"/>
      <c r="BB640" s="76"/>
      <c r="BC640" s="3"/>
      <c r="BD640" s="208"/>
      <c r="BE640" s="76"/>
      <c r="BF640" s="76"/>
    </row>
    <row r="641" spans="38:58" x14ac:dyDescent="0.25">
      <c r="AL641" s="125"/>
      <c r="AM641" s="3"/>
      <c r="AO641" s="182"/>
      <c r="AP641" s="2"/>
      <c r="AR641" s="3"/>
      <c r="AS641" s="2"/>
      <c r="AU641" s="90"/>
      <c r="AX641" s="2"/>
      <c r="BB641" s="76"/>
      <c r="BC641" s="3"/>
      <c r="BD641" s="208"/>
      <c r="BE641" s="76"/>
      <c r="BF641" s="76"/>
    </row>
    <row r="642" spans="38:58" x14ac:dyDescent="0.25">
      <c r="AL642" s="125"/>
      <c r="AM642" s="3"/>
      <c r="AO642" s="182"/>
      <c r="AP642" s="2"/>
      <c r="AR642" s="3"/>
      <c r="AS642" s="2"/>
      <c r="AU642" s="90"/>
      <c r="AX642" s="2"/>
      <c r="BB642" s="76"/>
      <c r="BC642" s="3"/>
      <c r="BD642" s="208"/>
      <c r="BE642" s="76"/>
      <c r="BF642" s="76"/>
    </row>
    <row r="643" spans="38:58" x14ac:dyDescent="0.25">
      <c r="AL643" s="125"/>
      <c r="AM643" s="3"/>
      <c r="AO643" s="182"/>
      <c r="AP643" s="2"/>
      <c r="AR643" s="3"/>
      <c r="AS643" s="2"/>
      <c r="AU643" s="90"/>
      <c r="AX643" s="2"/>
      <c r="BB643" s="76"/>
      <c r="BC643" s="3"/>
      <c r="BD643" s="208"/>
      <c r="BE643" s="76"/>
      <c r="BF643" s="76"/>
    </row>
    <row r="644" spans="38:58" x14ac:dyDescent="0.25">
      <c r="AL644" s="125"/>
      <c r="AM644" s="3"/>
      <c r="AO644" s="182"/>
      <c r="AP644" s="2"/>
      <c r="AR644" s="3"/>
      <c r="AS644" s="2"/>
      <c r="AU644" s="90"/>
      <c r="AX644" s="2"/>
      <c r="BB644" s="76"/>
      <c r="BC644" s="3"/>
      <c r="BD644" s="208"/>
      <c r="BE644" s="76"/>
      <c r="BF644" s="76"/>
    </row>
    <row r="645" spans="38:58" x14ac:dyDescent="0.25">
      <c r="AL645" s="125"/>
      <c r="AM645" s="3"/>
      <c r="AO645" s="182"/>
      <c r="AP645" s="2"/>
      <c r="AR645" s="3"/>
      <c r="AS645" s="2"/>
      <c r="AU645" s="90"/>
      <c r="AX645" s="2"/>
      <c r="BB645" s="76"/>
      <c r="BC645" s="3"/>
      <c r="BD645" s="208"/>
      <c r="BE645" s="76"/>
      <c r="BF645" s="76"/>
    </row>
    <row r="646" spans="38:58" x14ac:dyDescent="0.25">
      <c r="AL646" s="125"/>
      <c r="AM646" s="3"/>
      <c r="AO646" s="182"/>
      <c r="AP646" s="2"/>
      <c r="AR646" s="3"/>
      <c r="AS646" s="2"/>
      <c r="AU646" s="90"/>
      <c r="AX646" s="2"/>
      <c r="BB646" s="76"/>
      <c r="BC646" s="3"/>
      <c r="BD646" s="208"/>
      <c r="BE646" s="76"/>
      <c r="BF646" s="76"/>
    </row>
    <row r="647" spans="38:58" x14ac:dyDescent="0.25">
      <c r="AL647" s="125"/>
      <c r="AM647" s="3"/>
      <c r="AO647" s="182"/>
      <c r="AP647" s="2"/>
      <c r="AR647" s="3"/>
      <c r="AS647" s="2"/>
      <c r="AU647" s="90"/>
      <c r="AX647" s="2"/>
      <c r="BB647" s="76"/>
      <c r="BC647" s="3"/>
      <c r="BD647" s="208"/>
      <c r="BE647" s="76"/>
      <c r="BF647" s="76"/>
    </row>
    <row r="648" spans="38:58" x14ac:dyDescent="0.25">
      <c r="AL648" s="125"/>
      <c r="AM648" s="3"/>
      <c r="AO648" s="182"/>
      <c r="AP648" s="2"/>
      <c r="AR648" s="3"/>
      <c r="AS648" s="2"/>
      <c r="AU648" s="90"/>
      <c r="AX648" s="2"/>
      <c r="BB648" s="76"/>
      <c r="BC648" s="3"/>
      <c r="BD648" s="208"/>
      <c r="BE648" s="76"/>
      <c r="BF648" s="76"/>
    </row>
    <row r="649" spans="38:58" x14ac:dyDescent="0.25">
      <c r="AL649" s="125"/>
      <c r="AM649" s="3"/>
      <c r="AO649" s="182"/>
      <c r="AP649" s="2"/>
      <c r="AR649" s="3"/>
      <c r="AS649" s="2"/>
      <c r="AU649" s="90"/>
      <c r="AX649" s="2"/>
      <c r="BB649" s="76"/>
      <c r="BC649" s="3"/>
      <c r="BD649" s="208"/>
      <c r="BE649" s="76"/>
      <c r="BF649" s="76"/>
    </row>
    <row r="650" spans="38:58" x14ac:dyDescent="0.25">
      <c r="AL650" s="125"/>
      <c r="AM650" s="3"/>
      <c r="AO650" s="182"/>
      <c r="AP650" s="2"/>
      <c r="AR650" s="3"/>
      <c r="AS650" s="2"/>
      <c r="AU650" s="90"/>
      <c r="AX650" s="2"/>
      <c r="BB650" s="76"/>
      <c r="BC650" s="3"/>
      <c r="BD650" s="208"/>
      <c r="BE650" s="76"/>
      <c r="BF650" s="76"/>
    </row>
    <row r="651" spans="38:58" x14ac:dyDescent="0.25">
      <c r="AL651" s="125"/>
      <c r="AM651" s="3"/>
      <c r="AO651" s="182"/>
      <c r="AP651" s="2"/>
      <c r="AR651" s="3"/>
      <c r="AS651" s="2"/>
      <c r="AU651" s="90"/>
      <c r="AX651" s="2"/>
      <c r="BB651" s="76"/>
      <c r="BC651" s="3"/>
      <c r="BD651" s="208"/>
      <c r="BE651" s="76"/>
      <c r="BF651" s="76"/>
    </row>
    <row r="652" spans="38:58" x14ac:dyDescent="0.25">
      <c r="AL652" s="125"/>
      <c r="AM652" s="3"/>
      <c r="AO652" s="182"/>
      <c r="AP652" s="2"/>
      <c r="AR652" s="3"/>
      <c r="AS652" s="2"/>
      <c r="AU652" s="90"/>
      <c r="AX652" s="2"/>
      <c r="BB652" s="76"/>
      <c r="BC652" s="3"/>
      <c r="BD652" s="208"/>
      <c r="BE652" s="76"/>
      <c r="BF652" s="76"/>
    </row>
    <row r="653" spans="38:58" x14ac:dyDescent="0.25">
      <c r="AL653" s="125"/>
      <c r="AM653" s="3"/>
      <c r="AO653" s="182"/>
      <c r="AP653" s="2"/>
      <c r="AR653" s="3"/>
      <c r="AS653" s="2"/>
      <c r="AU653" s="90"/>
      <c r="AX653" s="2"/>
      <c r="BB653" s="76"/>
      <c r="BC653" s="3"/>
      <c r="BD653" s="208"/>
      <c r="BE653" s="76"/>
      <c r="BF653" s="76"/>
    </row>
    <row r="654" spans="38:58" x14ac:dyDescent="0.25">
      <c r="AL654" s="125"/>
      <c r="AM654" s="3"/>
      <c r="AO654" s="182"/>
      <c r="AP654" s="2"/>
      <c r="AR654" s="3"/>
      <c r="AS654" s="2"/>
      <c r="AU654" s="90"/>
      <c r="AX654" s="2"/>
      <c r="BB654" s="76"/>
      <c r="BC654" s="3"/>
      <c r="BD654" s="208"/>
      <c r="BE654" s="76"/>
      <c r="BF654" s="76"/>
    </row>
    <row r="655" spans="38:58" x14ac:dyDescent="0.25">
      <c r="AL655" s="125"/>
      <c r="AM655" s="3"/>
      <c r="AO655" s="182"/>
      <c r="AP655" s="2"/>
      <c r="AR655" s="3"/>
      <c r="AS655" s="2"/>
      <c r="AU655" s="90"/>
      <c r="AX655" s="2"/>
      <c r="BB655" s="76"/>
      <c r="BC655" s="3"/>
      <c r="BD655" s="208"/>
      <c r="BE655" s="76"/>
      <c r="BF655" s="76"/>
    </row>
    <row r="656" spans="38:58" x14ac:dyDescent="0.25">
      <c r="AL656" s="125"/>
      <c r="AM656" s="3"/>
      <c r="AO656" s="182"/>
      <c r="AP656" s="2"/>
      <c r="AR656" s="3"/>
      <c r="AS656" s="2"/>
      <c r="AU656" s="90"/>
      <c r="AX656" s="2"/>
      <c r="BB656" s="76"/>
      <c r="BC656" s="3"/>
      <c r="BD656" s="208"/>
      <c r="BE656" s="76"/>
      <c r="BF656" s="76"/>
    </row>
    <row r="657" spans="38:58" x14ac:dyDescent="0.25">
      <c r="AL657" s="125"/>
      <c r="AM657" s="3"/>
      <c r="AO657" s="182"/>
      <c r="AP657" s="2"/>
      <c r="AR657" s="3"/>
      <c r="AS657" s="2"/>
      <c r="AU657" s="90"/>
      <c r="AX657" s="2"/>
      <c r="BB657" s="76"/>
      <c r="BC657" s="3"/>
      <c r="BD657" s="208"/>
      <c r="BE657" s="76"/>
      <c r="BF657" s="76"/>
    </row>
    <row r="658" spans="38:58" x14ac:dyDescent="0.25">
      <c r="AL658" s="125"/>
      <c r="AM658" s="3"/>
      <c r="AO658" s="182"/>
      <c r="AP658" s="2"/>
      <c r="AR658" s="3"/>
      <c r="AS658" s="2"/>
      <c r="AU658" s="90"/>
      <c r="AX658" s="2"/>
      <c r="BB658" s="76"/>
      <c r="BC658" s="3"/>
      <c r="BD658" s="208"/>
      <c r="BE658" s="76"/>
      <c r="BF658" s="76"/>
    </row>
    <row r="659" spans="38:58" x14ac:dyDescent="0.25">
      <c r="AL659" s="125"/>
      <c r="AM659" s="3"/>
      <c r="AO659" s="182"/>
      <c r="AP659" s="2"/>
      <c r="AR659" s="3"/>
      <c r="AS659" s="2"/>
      <c r="AU659" s="90"/>
      <c r="AX659" s="2"/>
      <c r="BB659" s="76"/>
      <c r="BC659" s="3"/>
      <c r="BD659" s="208"/>
      <c r="BE659" s="76"/>
      <c r="BF659" s="76"/>
    </row>
    <row r="660" spans="38:58" x14ac:dyDescent="0.25">
      <c r="AL660" s="125"/>
      <c r="AM660" s="3"/>
      <c r="AO660" s="182"/>
      <c r="AP660" s="2"/>
      <c r="AR660" s="3"/>
      <c r="AS660" s="2"/>
      <c r="AU660" s="90"/>
      <c r="AX660" s="2"/>
      <c r="BB660" s="76"/>
      <c r="BC660" s="3"/>
      <c r="BD660" s="208"/>
      <c r="BE660" s="76"/>
      <c r="BF660" s="76"/>
    </row>
    <row r="661" spans="38:58" x14ac:dyDescent="0.25">
      <c r="AL661" s="125"/>
      <c r="AM661" s="3"/>
      <c r="AO661" s="182"/>
      <c r="AP661" s="2"/>
      <c r="AR661" s="3"/>
      <c r="AS661" s="2"/>
      <c r="AU661" s="90"/>
      <c r="AX661" s="2"/>
      <c r="BB661" s="76"/>
      <c r="BC661" s="3"/>
      <c r="BD661" s="208"/>
      <c r="BE661" s="76"/>
      <c r="BF661" s="76"/>
    </row>
    <row r="662" spans="38:58" x14ac:dyDescent="0.25">
      <c r="AL662" s="125"/>
      <c r="AM662" s="3"/>
      <c r="AO662" s="182"/>
      <c r="AP662" s="2"/>
      <c r="AR662" s="3"/>
      <c r="AS662" s="2"/>
      <c r="AU662" s="90"/>
      <c r="AX662" s="2"/>
      <c r="BB662" s="76"/>
      <c r="BC662" s="3"/>
      <c r="BD662" s="208"/>
      <c r="BE662" s="76"/>
      <c r="BF662" s="76"/>
    </row>
    <row r="663" spans="38:58" x14ac:dyDescent="0.25">
      <c r="AL663" s="125"/>
      <c r="AM663" s="3"/>
      <c r="AO663" s="182"/>
      <c r="AP663" s="2"/>
      <c r="AR663" s="3"/>
      <c r="AS663" s="2"/>
      <c r="AU663" s="90"/>
      <c r="AX663" s="2"/>
      <c r="BB663" s="76"/>
      <c r="BC663" s="3"/>
      <c r="BD663" s="208"/>
      <c r="BE663" s="76"/>
      <c r="BF663" s="76"/>
    </row>
    <row r="664" spans="38:58" x14ac:dyDescent="0.25">
      <c r="AL664" s="125"/>
      <c r="AM664" s="3"/>
      <c r="AO664" s="182"/>
      <c r="AP664" s="2"/>
      <c r="AR664" s="3"/>
      <c r="AS664" s="2"/>
      <c r="AU664" s="90"/>
      <c r="AX664" s="2"/>
      <c r="BB664" s="76"/>
      <c r="BC664" s="3"/>
      <c r="BD664" s="208"/>
      <c r="BE664" s="76"/>
      <c r="BF664" s="76"/>
    </row>
    <row r="665" spans="38:58" x14ac:dyDescent="0.25">
      <c r="AL665" s="125"/>
      <c r="AM665" s="3"/>
      <c r="AO665" s="182"/>
      <c r="AP665" s="2"/>
      <c r="AR665" s="3"/>
      <c r="AS665" s="2"/>
      <c r="AU665" s="90"/>
      <c r="AX665" s="2"/>
      <c r="BB665" s="76"/>
      <c r="BC665" s="3"/>
      <c r="BD665" s="208"/>
      <c r="BE665" s="76"/>
      <c r="BF665" s="76"/>
    </row>
    <row r="666" spans="38:58" x14ac:dyDescent="0.25">
      <c r="AL666" s="125"/>
      <c r="AM666" s="3"/>
      <c r="AO666" s="182"/>
      <c r="AP666" s="2"/>
      <c r="AR666" s="3"/>
      <c r="AS666" s="2"/>
      <c r="AU666" s="90"/>
      <c r="AX666" s="2"/>
      <c r="BB666" s="76"/>
      <c r="BC666" s="3"/>
      <c r="BD666" s="208"/>
      <c r="BE666" s="76"/>
      <c r="BF666" s="76"/>
    </row>
    <row r="667" spans="38:58" x14ac:dyDescent="0.25">
      <c r="AL667" s="125"/>
      <c r="AM667" s="3"/>
      <c r="AO667" s="182"/>
      <c r="AP667" s="2"/>
      <c r="AR667" s="3"/>
      <c r="AS667" s="2"/>
      <c r="AU667" s="90"/>
      <c r="AX667" s="2"/>
      <c r="BB667" s="76"/>
      <c r="BC667" s="3"/>
      <c r="BD667" s="208"/>
      <c r="BE667" s="76"/>
      <c r="BF667" s="76"/>
    </row>
    <row r="668" spans="38:58" x14ac:dyDescent="0.25">
      <c r="AL668" s="125"/>
      <c r="AM668" s="3"/>
      <c r="AO668" s="182"/>
      <c r="AP668" s="2"/>
      <c r="AR668" s="3"/>
      <c r="AS668" s="2"/>
      <c r="AU668" s="90"/>
      <c r="AX668" s="2"/>
      <c r="BB668" s="76"/>
      <c r="BC668" s="3"/>
      <c r="BD668" s="208"/>
      <c r="BE668" s="76"/>
      <c r="BF668" s="76"/>
    </row>
    <row r="669" spans="38:58" x14ac:dyDescent="0.25">
      <c r="AL669" s="125"/>
      <c r="AM669" s="3"/>
      <c r="AO669" s="182"/>
      <c r="AP669" s="2"/>
      <c r="AR669" s="3"/>
      <c r="AS669" s="2"/>
      <c r="AU669" s="90"/>
      <c r="AX669" s="2"/>
      <c r="BB669" s="76"/>
      <c r="BC669" s="3"/>
      <c r="BD669" s="208"/>
      <c r="BE669" s="76"/>
      <c r="BF669" s="76"/>
    </row>
    <row r="670" spans="38:58" x14ac:dyDescent="0.25">
      <c r="AL670" s="125"/>
      <c r="AM670" s="3"/>
      <c r="AO670" s="182"/>
      <c r="AP670" s="2"/>
      <c r="AR670" s="3"/>
      <c r="AS670" s="2"/>
      <c r="AU670" s="90"/>
      <c r="AX670" s="2"/>
      <c r="BB670" s="76"/>
      <c r="BC670" s="3"/>
      <c r="BD670" s="208"/>
      <c r="BE670" s="76"/>
      <c r="BF670" s="76"/>
    </row>
    <row r="671" spans="38:58" x14ac:dyDescent="0.25">
      <c r="AL671" s="125"/>
      <c r="AM671" s="3"/>
      <c r="AO671" s="182"/>
      <c r="AP671" s="2"/>
      <c r="AR671" s="3"/>
      <c r="AS671" s="2"/>
      <c r="AU671" s="90"/>
      <c r="AX671" s="2"/>
      <c r="BB671" s="76"/>
      <c r="BC671" s="3"/>
      <c r="BD671" s="208"/>
      <c r="BE671" s="76"/>
      <c r="BF671" s="76"/>
    </row>
    <row r="672" spans="38:58" x14ac:dyDescent="0.25">
      <c r="AL672" s="125"/>
      <c r="AM672" s="3"/>
      <c r="AO672" s="182"/>
      <c r="AP672" s="2"/>
      <c r="AR672" s="3"/>
      <c r="AS672" s="2"/>
      <c r="AU672" s="90"/>
      <c r="AX672" s="2"/>
      <c r="BB672" s="76"/>
      <c r="BC672" s="3"/>
      <c r="BD672" s="208"/>
      <c r="BE672" s="76"/>
      <c r="BF672" s="76"/>
    </row>
    <row r="673" spans="38:58" x14ac:dyDescent="0.25">
      <c r="AL673" s="125"/>
      <c r="AM673" s="3"/>
      <c r="AO673" s="182"/>
      <c r="AP673" s="2"/>
      <c r="AR673" s="3"/>
      <c r="AS673" s="2"/>
      <c r="AU673" s="90"/>
      <c r="AX673" s="2"/>
      <c r="BB673" s="76"/>
      <c r="BC673" s="3"/>
      <c r="BD673" s="208"/>
      <c r="BE673" s="76"/>
      <c r="BF673" s="76"/>
    </row>
    <row r="674" spans="38:58" x14ac:dyDescent="0.25">
      <c r="AL674" s="125"/>
      <c r="AM674" s="3"/>
      <c r="AO674" s="182"/>
      <c r="AP674" s="2"/>
      <c r="AR674" s="3"/>
      <c r="AS674" s="2"/>
      <c r="AU674" s="90"/>
      <c r="AX674" s="2"/>
      <c r="BB674" s="76"/>
      <c r="BC674" s="3"/>
      <c r="BD674" s="208"/>
      <c r="BE674" s="76"/>
      <c r="BF674" s="76"/>
    </row>
    <row r="675" spans="38:58" x14ac:dyDescent="0.25">
      <c r="AL675" s="125"/>
      <c r="AM675" s="3"/>
      <c r="AO675" s="182"/>
      <c r="AP675" s="2"/>
      <c r="AR675" s="3"/>
      <c r="AS675" s="2"/>
      <c r="AU675" s="90"/>
      <c r="AX675" s="2"/>
      <c r="BB675" s="76"/>
      <c r="BC675" s="3"/>
      <c r="BD675" s="208"/>
      <c r="BE675" s="76"/>
      <c r="BF675" s="76"/>
    </row>
    <row r="676" spans="38:58" x14ac:dyDescent="0.25">
      <c r="AL676" s="125"/>
      <c r="AM676" s="3"/>
      <c r="AO676" s="182"/>
      <c r="AP676" s="2"/>
      <c r="AR676" s="3"/>
      <c r="AS676" s="2"/>
      <c r="AU676" s="90"/>
      <c r="AX676" s="2"/>
      <c r="BB676" s="76"/>
      <c r="BC676" s="3"/>
      <c r="BD676" s="208"/>
      <c r="BE676" s="76"/>
      <c r="BF676" s="76"/>
    </row>
    <row r="677" spans="38:58" x14ac:dyDescent="0.25">
      <c r="AL677" s="125"/>
      <c r="AM677" s="3"/>
      <c r="AO677" s="182"/>
      <c r="AP677" s="2"/>
      <c r="AR677" s="3"/>
      <c r="AS677" s="2"/>
      <c r="AU677" s="90"/>
      <c r="AX677" s="2"/>
      <c r="BB677" s="76"/>
      <c r="BC677" s="3"/>
      <c r="BD677" s="95"/>
      <c r="BE677" s="2"/>
    </row>
    <row r="678" spans="38:58" x14ac:dyDescent="0.25">
      <c r="AL678" s="125"/>
      <c r="AM678" s="3"/>
      <c r="AO678" s="182"/>
      <c r="AP678" s="2"/>
      <c r="AR678" s="3"/>
      <c r="AS678" s="2"/>
      <c r="AU678" s="90"/>
      <c r="AX678" s="2"/>
      <c r="BB678" s="76"/>
      <c r="BC678" s="3"/>
      <c r="BD678" s="95"/>
      <c r="BE678" s="2"/>
    </row>
    <row r="679" spans="38:58" x14ac:dyDescent="0.25">
      <c r="AL679" s="125"/>
      <c r="AM679" s="3"/>
      <c r="AO679" s="182"/>
      <c r="AP679" s="2"/>
      <c r="AR679" s="3"/>
      <c r="AS679" s="2"/>
      <c r="AU679" s="90"/>
      <c r="AX679" s="2"/>
      <c r="BB679" s="76"/>
      <c r="BC679" s="3"/>
      <c r="BD679" s="95"/>
      <c r="BE679" s="2"/>
    </row>
    <row r="680" spans="38:58" x14ac:dyDescent="0.25">
      <c r="AL680" s="125"/>
      <c r="AM680" s="3"/>
      <c r="AO680" s="182"/>
      <c r="AP680" s="2"/>
      <c r="AR680" s="3"/>
      <c r="AS680" s="2"/>
      <c r="AU680" s="90"/>
      <c r="AX680" s="2"/>
      <c r="BB680" s="76"/>
      <c r="BC680" s="3"/>
      <c r="BD680" s="95"/>
      <c r="BE680" s="2"/>
    </row>
    <row r="681" spans="38:58" x14ac:dyDescent="0.25">
      <c r="AL681" s="125"/>
      <c r="AM681" s="3"/>
      <c r="AO681" s="182"/>
      <c r="AP681" s="2"/>
      <c r="AR681" s="3"/>
      <c r="AS681" s="2"/>
      <c r="AU681" s="90"/>
      <c r="AX681" s="2"/>
      <c r="BB681" s="76"/>
      <c r="BC681" s="3"/>
      <c r="BD681" s="95"/>
      <c r="BE681" s="2"/>
    </row>
    <row r="682" spans="38:58" x14ac:dyDescent="0.25">
      <c r="AL682" s="125"/>
      <c r="AM682" s="3"/>
      <c r="AO682" s="182"/>
      <c r="AP682" s="2"/>
      <c r="AR682" s="3"/>
      <c r="AS682" s="2"/>
      <c r="AU682" s="90"/>
      <c r="AX682" s="2"/>
      <c r="BB682" s="76"/>
      <c r="BC682" s="3"/>
      <c r="BD682" s="95"/>
      <c r="BE682" s="2"/>
    </row>
    <row r="683" spans="38:58" x14ac:dyDescent="0.25">
      <c r="AL683" s="125"/>
      <c r="AM683" s="3"/>
      <c r="AO683" s="182"/>
      <c r="AP683" s="2"/>
      <c r="AR683" s="3"/>
      <c r="AS683" s="2"/>
      <c r="AU683" s="90"/>
      <c r="AX683" s="2"/>
      <c r="BB683" s="76"/>
      <c r="BC683" s="3"/>
      <c r="BD683" s="95"/>
      <c r="BE683" s="2"/>
    </row>
    <row r="684" spans="38:58" x14ac:dyDescent="0.25">
      <c r="AL684" s="125"/>
      <c r="AM684" s="3"/>
      <c r="AO684" s="182"/>
      <c r="AP684" s="2"/>
      <c r="AR684" s="3"/>
      <c r="AS684" s="2"/>
      <c r="AU684" s="90"/>
      <c r="AX684" s="2"/>
      <c r="BB684" s="76"/>
      <c r="BC684" s="3"/>
      <c r="BD684" s="95"/>
      <c r="BE684" s="2"/>
    </row>
    <row r="685" spans="38:58" x14ac:dyDescent="0.25">
      <c r="AL685" s="125"/>
      <c r="AM685" s="3"/>
      <c r="AO685" s="182"/>
      <c r="AP685" s="2"/>
      <c r="AR685" s="3"/>
      <c r="AS685" s="2"/>
      <c r="AU685" s="90"/>
      <c r="AX685" s="2"/>
      <c r="BB685" s="76"/>
      <c r="BC685" s="3"/>
      <c r="BD685" s="95"/>
      <c r="BE685" s="2"/>
    </row>
    <row r="686" spans="38:58" x14ac:dyDescent="0.25">
      <c r="AL686" s="125"/>
      <c r="AM686" s="3"/>
      <c r="AO686" s="182"/>
      <c r="AP686" s="2"/>
      <c r="AR686" s="3"/>
      <c r="AS686" s="2"/>
      <c r="AU686" s="90"/>
      <c r="AX686" s="2"/>
      <c r="BB686" s="76"/>
      <c r="BC686" s="3"/>
      <c r="BD686" s="95"/>
      <c r="BE686" s="2"/>
    </row>
    <row r="687" spans="38:58" x14ac:dyDescent="0.25">
      <c r="AL687" s="125"/>
      <c r="AM687" s="3"/>
      <c r="AO687" s="182"/>
      <c r="AP687" s="2"/>
      <c r="AR687" s="3"/>
      <c r="AS687" s="2"/>
      <c r="AU687" s="90"/>
      <c r="AX687" s="2"/>
      <c r="BB687" s="76"/>
      <c r="BC687" s="3"/>
      <c r="BD687" s="95"/>
      <c r="BE687" s="2"/>
    </row>
    <row r="688" spans="38:58" x14ac:dyDescent="0.25">
      <c r="AL688" s="125"/>
      <c r="AM688" s="3"/>
      <c r="AO688" s="182"/>
      <c r="AP688" s="2"/>
      <c r="AR688" s="3"/>
      <c r="AS688" s="2"/>
      <c r="AU688" s="90"/>
      <c r="AX688" s="2"/>
      <c r="BB688" s="76"/>
      <c r="BC688" s="3"/>
      <c r="BD688" s="95"/>
      <c r="BE688" s="2"/>
    </row>
    <row r="689" spans="38:57" x14ac:dyDescent="0.25">
      <c r="AL689" s="125"/>
      <c r="AM689" s="3"/>
      <c r="AO689" s="182"/>
      <c r="AP689" s="2"/>
      <c r="AR689" s="3"/>
      <c r="AS689" s="2"/>
      <c r="AU689" s="90"/>
      <c r="AX689" s="2"/>
      <c r="BB689" s="76"/>
      <c r="BC689" s="3"/>
      <c r="BD689" s="95"/>
      <c r="BE689" s="2"/>
    </row>
    <row r="690" spans="38:57" x14ac:dyDescent="0.25">
      <c r="AL690" s="125"/>
      <c r="AM690" s="3"/>
      <c r="AO690" s="182"/>
      <c r="AP690" s="2"/>
      <c r="AR690" s="3"/>
      <c r="AS690" s="2"/>
      <c r="AU690" s="90"/>
      <c r="AX690" s="2"/>
      <c r="BB690" s="76"/>
      <c r="BC690" s="3"/>
      <c r="BD690" s="95"/>
      <c r="BE690" s="2"/>
    </row>
    <row r="691" spans="38:57" x14ac:dyDescent="0.25">
      <c r="AL691" s="125"/>
      <c r="AM691" s="3"/>
      <c r="AO691" s="182"/>
      <c r="AP691" s="2"/>
      <c r="AR691" s="3"/>
      <c r="AS691" s="2"/>
      <c r="AU691" s="90"/>
      <c r="AX691" s="2"/>
      <c r="BB691" s="76"/>
      <c r="BC691" s="3"/>
      <c r="BD691" s="95"/>
      <c r="BE691" s="2"/>
    </row>
    <row r="692" spans="38:57" x14ac:dyDescent="0.25">
      <c r="AL692" s="125"/>
      <c r="AM692" s="3"/>
      <c r="AO692" s="182"/>
      <c r="AP692" s="2"/>
      <c r="AR692" s="3"/>
      <c r="AS692" s="2"/>
      <c r="AU692" s="90"/>
      <c r="AX692" s="2"/>
      <c r="BB692" s="76"/>
      <c r="BC692" s="3"/>
      <c r="BD692" s="95"/>
      <c r="BE692" s="2"/>
    </row>
    <row r="693" spans="38:57" x14ac:dyDescent="0.25">
      <c r="AL693" s="125"/>
      <c r="AM693" s="3"/>
      <c r="AO693" s="182"/>
      <c r="AP693" s="2"/>
      <c r="AR693" s="3"/>
      <c r="AS693" s="2"/>
      <c r="AU693" s="90"/>
      <c r="AX693" s="2"/>
      <c r="BB693" s="76"/>
      <c r="BC693" s="3"/>
      <c r="BD693" s="95"/>
      <c r="BE693" s="2"/>
    </row>
    <row r="694" spans="38:57" x14ac:dyDescent="0.25">
      <c r="AL694" s="125"/>
      <c r="AM694" s="3"/>
      <c r="AO694" s="182"/>
      <c r="AP694" s="2"/>
      <c r="AR694" s="3"/>
      <c r="AS694" s="2"/>
      <c r="AU694" s="90"/>
      <c r="AX694" s="2"/>
      <c r="BB694" s="76"/>
      <c r="BC694" s="3"/>
      <c r="BD694" s="95"/>
      <c r="BE694" s="2"/>
    </row>
    <row r="695" spans="38:57" x14ac:dyDescent="0.25">
      <c r="AL695" s="125"/>
      <c r="AM695" s="3"/>
      <c r="AO695" s="182"/>
      <c r="AP695" s="2"/>
      <c r="AR695" s="3"/>
      <c r="AS695" s="2"/>
      <c r="AU695" s="90"/>
      <c r="AX695" s="2"/>
      <c r="BB695" s="76"/>
      <c r="BC695" s="3"/>
      <c r="BD695" s="95"/>
      <c r="BE695" s="2"/>
    </row>
    <row r="696" spans="38:57" x14ac:dyDescent="0.25">
      <c r="AL696" s="125"/>
      <c r="AM696" s="3"/>
      <c r="AO696" s="182"/>
      <c r="AP696" s="2"/>
      <c r="AR696" s="3"/>
      <c r="AS696" s="2"/>
      <c r="AU696" s="90"/>
      <c r="AX696" s="2"/>
      <c r="BB696" s="76"/>
      <c r="BC696" s="3"/>
      <c r="BD696" s="95"/>
      <c r="BE696" s="2"/>
    </row>
    <row r="697" spans="38:57" x14ac:dyDescent="0.25">
      <c r="AL697" s="125"/>
      <c r="AM697" s="3"/>
      <c r="AO697" s="182"/>
      <c r="AP697" s="2"/>
      <c r="AR697" s="3"/>
      <c r="AS697" s="2"/>
      <c r="AU697" s="90"/>
      <c r="AX697" s="2"/>
      <c r="BB697" s="76"/>
      <c r="BC697" s="3"/>
      <c r="BD697" s="95"/>
      <c r="BE697" s="2"/>
    </row>
    <row r="698" spans="38:57" x14ac:dyDescent="0.25">
      <c r="AL698" s="125"/>
      <c r="AM698" s="3"/>
      <c r="AO698" s="182"/>
      <c r="AP698" s="2"/>
      <c r="AR698" s="3"/>
      <c r="AS698" s="2"/>
      <c r="AU698" s="90"/>
      <c r="AX698" s="2"/>
      <c r="BB698" s="76"/>
      <c r="BC698" s="3"/>
      <c r="BD698" s="95"/>
      <c r="BE698" s="2"/>
    </row>
  </sheetData>
  <sheetProtection deleteColumns="0" deleteRows="0"/>
  <autoFilter ref="A3:BQ632">
    <filterColumn colId="55" showButton="0"/>
  </autoFilter>
  <sortState ref="C19:BE642">
    <sortCondition ref="C19:C642"/>
  </sortState>
  <mergeCells count="3">
    <mergeCell ref="C2:D2"/>
    <mergeCell ref="B1:K1"/>
    <mergeCell ref="BD3:BE3"/>
  </mergeCells>
  <conditionalFormatting sqref="AG4:AH16">
    <cfRule type="cellIs" dxfId="1677" priority="133" operator="lessThanOrEqual">
      <formula>0</formula>
    </cfRule>
  </conditionalFormatting>
  <conditionalFormatting sqref="W4:X16">
    <cfRule type="cellIs" dxfId="1676" priority="142" operator="greaterThan">
      <formula>700</formula>
    </cfRule>
  </conditionalFormatting>
  <conditionalFormatting sqref="W178 W364:X371 W275:X348 W377:X604">
    <cfRule type="cellIs" dxfId="1675" priority="72" operator="greaterThan">
      <formula>700</formula>
    </cfRule>
  </conditionalFormatting>
  <conditionalFormatting sqref="AG178:AH178 AF255:AH270 AG364:AH376 AG275:AH348 AG390:AH619">
    <cfRule type="cellIs" dxfId="1674" priority="73" operator="lessThanOrEqual">
      <formula>0</formula>
    </cfRule>
  </conditionalFormatting>
  <conditionalFormatting sqref="AF186:AH254">
    <cfRule type="cellIs" dxfId="1673" priority="68" operator="lessThanOrEqual">
      <formula>0</formula>
    </cfRule>
  </conditionalFormatting>
  <conditionalFormatting sqref="W186:X254">
    <cfRule type="cellIs" dxfId="1672" priority="69" operator="greaterThan">
      <formula>700</formula>
    </cfRule>
  </conditionalFormatting>
  <conditionalFormatting sqref="W267:W270 W266:X266 W255:W265">
    <cfRule type="cellIs" dxfId="1671" priority="67" operator="greaterThan">
      <formula>700</formula>
    </cfRule>
  </conditionalFormatting>
  <conditionalFormatting sqref="AG271:AH272">
    <cfRule type="cellIs" dxfId="1670" priority="50" operator="lessThanOrEqual">
      <formula>0</formula>
    </cfRule>
  </conditionalFormatting>
  <conditionalFormatting sqref="W271:X272">
    <cfRule type="cellIs" dxfId="1669" priority="51" operator="greaterThan">
      <formula>700</formula>
    </cfRule>
  </conditionalFormatting>
  <conditionalFormatting sqref="AG273:AH273">
    <cfRule type="cellIs" dxfId="1668" priority="47" operator="lessThanOrEqual">
      <formula>0</formula>
    </cfRule>
  </conditionalFormatting>
  <conditionalFormatting sqref="W273:X273">
    <cfRule type="cellIs" dxfId="1667" priority="48" operator="greaterThan">
      <formula>700</formula>
    </cfRule>
  </conditionalFormatting>
  <conditionalFormatting sqref="AG274:AH274">
    <cfRule type="cellIs" dxfId="1666" priority="44" operator="lessThanOrEqual">
      <formula>0</formula>
    </cfRule>
  </conditionalFormatting>
  <conditionalFormatting sqref="W274:X274">
    <cfRule type="cellIs" dxfId="1665" priority="45" operator="greaterThan">
      <formula>700</formula>
    </cfRule>
  </conditionalFormatting>
  <conditionalFormatting sqref="AI275:AJ276">
    <cfRule type="cellIs" dxfId="1664" priority="42" operator="lessThanOrEqual">
      <formula>0</formula>
    </cfRule>
  </conditionalFormatting>
  <conditionalFormatting sqref="AG349:AH352">
    <cfRule type="cellIs" dxfId="1663" priority="39" operator="lessThanOrEqual">
      <formula>0</formula>
    </cfRule>
  </conditionalFormatting>
  <conditionalFormatting sqref="W349:X352">
    <cfRule type="cellIs" dxfId="1662" priority="40" operator="greaterThan">
      <formula>700</formula>
    </cfRule>
  </conditionalFormatting>
  <conditionalFormatting sqref="AG353:AH353">
    <cfRule type="cellIs" dxfId="1661" priority="30" operator="lessThanOrEqual">
      <formula>0</formula>
    </cfRule>
  </conditionalFormatting>
  <conditionalFormatting sqref="W353:X353">
    <cfRule type="cellIs" dxfId="1660" priority="31" operator="greaterThan">
      <formula>700</formula>
    </cfRule>
  </conditionalFormatting>
  <conditionalFormatting sqref="AG354:AH354">
    <cfRule type="cellIs" dxfId="1659" priority="28" operator="lessThanOrEqual">
      <formula>0</formula>
    </cfRule>
  </conditionalFormatting>
  <conditionalFormatting sqref="W354:X354">
    <cfRule type="cellIs" dxfId="1658" priority="29" operator="greaterThan">
      <formula>700</formula>
    </cfRule>
  </conditionalFormatting>
  <conditionalFormatting sqref="AG355:AH355">
    <cfRule type="cellIs" dxfId="1657" priority="26" operator="lessThanOrEqual">
      <formula>0</formula>
    </cfRule>
  </conditionalFormatting>
  <conditionalFormatting sqref="W355:X355">
    <cfRule type="cellIs" dxfId="1656" priority="27" operator="greaterThan">
      <formula>700</formula>
    </cfRule>
  </conditionalFormatting>
  <conditionalFormatting sqref="AG356:AH356">
    <cfRule type="cellIs" dxfId="1655" priority="24" operator="lessThanOrEqual">
      <formula>0</formula>
    </cfRule>
  </conditionalFormatting>
  <conditionalFormatting sqref="W356:X356">
    <cfRule type="cellIs" dxfId="1654" priority="25" operator="greaterThan">
      <formula>700</formula>
    </cfRule>
  </conditionalFormatting>
  <conditionalFormatting sqref="AG357:AH357">
    <cfRule type="cellIs" dxfId="1653" priority="22" operator="lessThanOrEqual">
      <formula>0</formula>
    </cfRule>
  </conditionalFormatting>
  <conditionalFormatting sqref="W357:X357">
    <cfRule type="cellIs" dxfId="1652" priority="23" operator="greaterThan">
      <formula>700</formula>
    </cfRule>
  </conditionalFormatting>
  <conditionalFormatting sqref="AG358:AH358">
    <cfRule type="cellIs" dxfId="1651" priority="20" operator="lessThanOrEqual">
      <formula>0</formula>
    </cfRule>
  </conditionalFormatting>
  <conditionalFormatting sqref="W358:X358">
    <cfRule type="cellIs" dxfId="1650" priority="21" operator="greaterThan">
      <formula>700</formula>
    </cfRule>
  </conditionalFormatting>
  <conditionalFormatting sqref="AG359:AH361">
    <cfRule type="cellIs" dxfId="1649" priority="18" operator="lessThanOrEqual">
      <formula>0</formula>
    </cfRule>
  </conditionalFormatting>
  <conditionalFormatting sqref="W359:X361">
    <cfRule type="cellIs" dxfId="1648" priority="19" operator="greaterThan">
      <formula>700</formula>
    </cfRule>
  </conditionalFormatting>
  <conditionalFormatting sqref="AG362:AH362">
    <cfRule type="cellIs" dxfId="1647" priority="16" operator="lessThanOrEqual">
      <formula>0</formula>
    </cfRule>
  </conditionalFormatting>
  <conditionalFormatting sqref="W362:X362">
    <cfRule type="cellIs" dxfId="1646" priority="17" operator="greaterThan">
      <formula>700</formula>
    </cfRule>
  </conditionalFormatting>
  <conditionalFormatting sqref="AG363:AH363">
    <cfRule type="cellIs" dxfId="1645" priority="14" operator="lessThanOrEqual">
      <formula>0</formula>
    </cfRule>
  </conditionalFormatting>
  <conditionalFormatting sqref="W363:X363">
    <cfRule type="cellIs" dxfId="1644" priority="15" operator="greaterThan">
      <formula>700</formula>
    </cfRule>
  </conditionalFormatting>
  <conditionalFormatting sqref="AG624:AH624">
    <cfRule type="cellIs" dxfId="1643" priority="1" operator="lessThanOrEqual">
      <formula>0</formula>
    </cfRule>
  </conditionalFormatting>
  <conditionalFormatting sqref="AG378:AJ389 AG621:AH623 AI392:AJ393 AG625:AH632 AG377:AI377">
    <cfRule type="cellIs" dxfId="1642" priority="7" operator="lessThanOrEqual">
      <formula>0</formula>
    </cfRule>
  </conditionalFormatting>
  <conditionalFormatting sqref="I381:I383">
    <cfRule type="dataBar" priority="9">
      <dataBar>
        <cfvo type="min"/>
        <cfvo type="max"/>
        <color rgb="FF638EC6"/>
      </dataBar>
      <extLst>
        <ext xmlns:x14="http://schemas.microsoft.com/office/spreadsheetml/2009/9/main" uri="{B025F937-C7B1-47D3-B67F-A62EFF666E3E}">
          <x14:id>{D0B99E3A-3DD9-4BB5-B2FB-90535E78EB76}</x14:id>
        </ext>
      </extLst>
    </cfRule>
  </conditionalFormatting>
  <conditionalFormatting sqref="I378">
    <cfRule type="dataBar" priority="10">
      <dataBar>
        <cfvo type="min"/>
        <cfvo type="max"/>
        <color rgb="FF638EC6"/>
      </dataBar>
      <extLst>
        <ext xmlns:x14="http://schemas.microsoft.com/office/spreadsheetml/2009/9/main" uri="{B025F937-C7B1-47D3-B67F-A62EFF666E3E}">
          <x14:id>{47D708A4-7E81-43A0-ADC9-27CE23239303}</x14:id>
        </ext>
      </extLst>
    </cfRule>
  </conditionalFormatting>
  <conditionalFormatting sqref="AJ377">
    <cfRule type="cellIs" dxfId="1641" priority="6" operator="lessThanOrEqual">
      <formula>0</formula>
    </cfRule>
  </conditionalFormatting>
  <conditionalFormatting sqref="H377:J377">
    <cfRule type="dataBar" priority="11">
      <dataBar>
        <cfvo type="min"/>
        <cfvo type="max"/>
        <color rgb="FF638EC6"/>
      </dataBar>
      <extLst>
        <ext xmlns:x14="http://schemas.microsoft.com/office/spreadsheetml/2009/9/main" uri="{B025F937-C7B1-47D3-B67F-A62EFF666E3E}">
          <x14:id>{418F32ED-55FE-472B-ADCB-DB704FDFB9AC}</x14:id>
        </ext>
      </extLst>
    </cfRule>
  </conditionalFormatting>
  <conditionalFormatting sqref="AG620:AH620">
    <cfRule type="cellIs" dxfId="1640" priority="2" operator="lessThanOrEqual">
      <formula>0</formula>
    </cfRule>
  </conditionalFormatting>
  <conditionalFormatting sqref="W620:X620">
    <cfRule type="cellIs" dxfId="1639" priority="3" operator="greaterThan">
      <formula>700</formula>
    </cfRule>
  </conditionalFormatting>
  <dataValidations count="5">
    <dataValidation type="list" allowBlank="1" showInputMessage="1" showErrorMessage="1" sqref="AA247 AA626:AA627 AA632 T568:T570 T555:T558 T622:T623 T632 U353:U375 U377:U618 T609 T380 T387:T389 T604:T605 T394 T602 T600 T431 T433 T423:T424 T452:T453 T455:T457 T442 T415 T471 T474:T475 T592:T598 T483 T495 T499 T503 T581:T582 T566 T617:T619 T532 T561:T564 T543 T551 T625:T627 AA353:AA414 AA416:AA618">
      <formula1>#REF!</formula1>
    </dataValidation>
    <dataValidation type="list" allowBlank="1" showInputMessage="1" showErrorMessage="1" sqref="U376">
      <formula1>$K$3:$K$37</formula1>
    </dataValidation>
    <dataValidation type="list" allowBlank="1" showInputMessage="1" showErrorMessage="1" sqref="U619 U621:U623 U632 U625:U627">
      <formula1>$K$3:$K$38</formula1>
    </dataValidation>
    <dataValidation type="list" allowBlank="1" showInputMessage="1" showErrorMessage="1" sqref="Z625:Z632 Z621:Z623 Z377:Z619">
      <formula1>$G$4:$G$47</formula1>
    </dataValidation>
    <dataValidation type="list" allowBlank="1" showInputMessage="1" showErrorMessage="1" sqref="Z353:Z376">
      <formula1>$G$4:$G$46</formula1>
    </dataValidation>
  </dataValidations>
  <pageMargins left="0.70866141732283472" right="0.70866141732283472" top="0.74803149606299213" bottom="0.74803149606299213" header="0.31496062992125984" footer="0.31496062992125984"/>
  <pageSetup paperSize="9" scale="80" orientation="portrait" r:id="rId1"/>
  <colBreaks count="1" manualBreakCount="1">
    <brk id="27" max="1048575" man="1"/>
  </colBreaks>
  <legacyDrawing r:id="rId2"/>
  <extLst>
    <ext xmlns:x14="http://schemas.microsoft.com/office/spreadsheetml/2009/9/main" uri="{78C0D931-6437-407d-A8EE-F0AAD7539E65}">
      <x14:conditionalFormattings>
        <x14:conditionalFormatting xmlns:xm="http://schemas.microsoft.com/office/excel/2006/main">
          <x14:cfRule type="dataBar" id="{D0B99E3A-3DD9-4BB5-B2FB-90535E78EB76}">
            <x14:dataBar gradient="0">
              <x14:cfvo type="autoMin"/>
              <x14:cfvo type="autoMax"/>
              <x14:negativeFillColor rgb="FFFF0000"/>
              <x14:axisColor rgb="FF000000"/>
            </x14:dataBar>
          </x14:cfRule>
          <xm:sqref>I381:I383</xm:sqref>
        </x14:conditionalFormatting>
        <x14:conditionalFormatting xmlns:xm="http://schemas.microsoft.com/office/excel/2006/main">
          <x14:cfRule type="dataBar" id="{47D708A4-7E81-43A0-ADC9-27CE23239303}">
            <x14:dataBar gradient="0">
              <x14:cfvo type="autoMin"/>
              <x14:cfvo type="autoMax"/>
              <x14:negativeFillColor rgb="FFFF0000"/>
              <x14:axisColor rgb="FF000000"/>
            </x14:dataBar>
          </x14:cfRule>
          <xm:sqref>I378</xm:sqref>
        </x14:conditionalFormatting>
        <x14:conditionalFormatting xmlns:xm="http://schemas.microsoft.com/office/excel/2006/main">
          <x14:cfRule type="dataBar" id="{418F32ED-55FE-472B-ADCB-DB704FDFB9AC}">
            <x14:dataBar gradient="0">
              <x14:cfvo type="autoMin"/>
              <x14:cfvo type="autoMax"/>
              <x14:negativeFillColor rgb="FFFF0000"/>
              <x14:axisColor rgb="FF000000"/>
            </x14:dataBar>
          </x14:cfRule>
          <xm:sqref>H377:J377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[2]INFORMATIVO!#REF!</xm:f>
          </x14:formula1>
          <xm:sqref>Z179:AA185 Z17:AA177</xm:sqref>
        </x14:dataValidation>
        <x14:dataValidation type="list" allowBlank="1" showInputMessage="1" showErrorMessage="1">
          <x14:formula1>
            <xm:f>[3]INFORMATIVO!#REF!</xm:f>
          </x14:formula1>
          <xm:sqref>D4:D16 U4:U16 Z4:Z16 AA4 AA6:AA16</xm:sqref>
        </x14:dataValidation>
        <x14:dataValidation type="list" allowBlank="1" showInputMessage="1" showErrorMessage="1">
          <x14:formula1>
            <xm:f>[4]INFORMATIVO!#REF!</xm:f>
          </x14:formula1>
          <x14:formula2>
            <xm:f>0</xm:f>
          </x14:formula2>
          <xm:sqref>D178 D186:D270 U186:U270 AA248:AA270 Z178:AA178 U178 Z186:Z270 AA186:AA246</xm:sqref>
        </x14:dataValidation>
        <x14:dataValidation type="list" allowBlank="1" showInputMessage="1" showErrorMessage="1">
          <x14:formula1>
            <xm:f>[5]INFORMATIVO!#REF!</xm:f>
          </x14:formula1>
          <xm:sqref>T305 Z271:AA352 U271:U352</xm:sqref>
        </x14:dataValidation>
        <x14:dataValidation type="list" allowBlank="1" showInputMessage="1" showErrorMessage="1">
          <x14:formula1>
            <xm:f>[6]INFORMATIVO!#REF!</xm:f>
          </x14:formula1>
          <xm:sqref>Z620 AA624 T620:U620 U624</xm:sqref>
        </x14:dataValidation>
        <x14:dataValidation type="list" allowBlank="1" showInputMessage="1" showErrorMessage="1">
          <x14:formula1>
            <xm:f>[7]INFORMATIVO!#REF!</xm:f>
          </x14:formula1>
          <x14:formula2>
            <xm:f>0</xm:f>
          </x14:formula2>
          <xm:sqref>D271:D352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97"/>
  <sheetViews>
    <sheetView showGridLines="0" topLeftCell="A4" zoomScale="140" zoomScaleNormal="140" workbookViewId="0">
      <selection activeCell="A148" sqref="A148"/>
    </sheetView>
  </sheetViews>
  <sheetFormatPr baseColWidth="10" defaultColWidth="11.5703125" defaultRowHeight="18" customHeight="1" x14ac:dyDescent="0.25"/>
  <cols>
    <col min="1" max="1" width="1.140625" style="17" customWidth="1"/>
    <col min="2" max="2" width="12.42578125" style="17" customWidth="1"/>
    <col min="3" max="3" width="7.7109375" style="17" customWidth="1"/>
    <col min="4" max="4" width="6.7109375" style="17" customWidth="1"/>
    <col min="5" max="5" width="7.7109375" style="17" customWidth="1"/>
    <col min="6" max="6" width="7.5703125" style="17" customWidth="1"/>
    <col min="7" max="7" width="6.7109375" style="17" customWidth="1"/>
    <col min="8" max="9" width="7.7109375" style="17" customWidth="1"/>
    <col min="10" max="10" width="6.7109375" style="17" customWidth="1"/>
    <col min="11" max="11" width="7.85546875" style="17" customWidth="1"/>
    <col min="12" max="16" width="6.7109375" style="17" customWidth="1"/>
    <col min="17" max="17" width="5.7109375" style="17" customWidth="1"/>
    <col min="18" max="18" width="7.42578125" style="17" customWidth="1"/>
    <col min="19" max="20" width="6.28515625" style="17" customWidth="1"/>
    <col min="21" max="21" width="13.28515625" style="17" bestFit="1" customWidth="1"/>
    <col min="22" max="22" width="15.7109375" style="17" customWidth="1"/>
    <col min="23" max="23" width="16.140625" style="17" customWidth="1"/>
    <col min="24" max="26" width="6.7109375" style="17" customWidth="1"/>
    <col min="27" max="27" width="11.28515625" style="17" customWidth="1"/>
    <col min="28" max="28" width="10.7109375" style="17" customWidth="1"/>
    <col min="29" max="29" width="17.28515625" style="17" customWidth="1"/>
    <col min="30" max="30" width="15.85546875" style="17" bestFit="1" customWidth="1"/>
    <col min="31" max="31" width="16.5703125" style="17" bestFit="1" customWidth="1"/>
    <col min="32" max="32" width="16.28515625" style="17" customWidth="1"/>
    <col min="33" max="33" width="8.28515625" style="17" customWidth="1"/>
    <col min="34" max="34" width="6.7109375" style="17" customWidth="1"/>
    <col min="35" max="35" width="9.7109375" style="17" bestFit="1" customWidth="1"/>
    <col min="36" max="36" width="6.7109375" style="17" customWidth="1"/>
    <col min="37" max="37" width="10.28515625" style="17" customWidth="1"/>
    <col min="38" max="46" width="6.7109375" style="17" customWidth="1"/>
    <col min="47" max="55" width="4.7109375" style="17" customWidth="1"/>
    <col min="56" max="16384" width="11.5703125" style="17"/>
  </cols>
  <sheetData>
    <row r="1" spans="2:35" ht="18" customHeight="1" x14ac:dyDescent="0.25">
      <c r="B1" s="42" t="s">
        <v>72</v>
      </c>
    </row>
    <row r="2" spans="2:35" ht="30" customHeight="1" x14ac:dyDescent="0.25">
      <c r="B2" s="449" t="s">
        <v>93</v>
      </c>
      <c r="C2" s="450"/>
      <c r="D2" s="450"/>
      <c r="E2" s="450"/>
      <c r="F2" s="450"/>
      <c r="G2" s="450"/>
      <c r="H2" s="450"/>
      <c r="I2" s="450"/>
      <c r="J2" s="450"/>
      <c r="K2" s="450"/>
      <c r="L2" s="450"/>
      <c r="M2" s="450"/>
      <c r="N2" s="450"/>
      <c r="O2" s="450"/>
      <c r="P2" s="450"/>
      <c r="Q2" s="450"/>
      <c r="AC2" s="17" t="str">
        <f>+C3</f>
        <v>Invitación Pública</v>
      </c>
      <c r="AD2" s="18" t="e">
        <f>+D17</f>
        <v>#REF!</v>
      </c>
      <c r="AE2" s="19" t="e">
        <f>+AD2/$AD$6</f>
        <v>#REF!</v>
      </c>
      <c r="AG2" s="53">
        <f t="shared" ref="AG2:AG4" si="0">+B5</f>
        <v>2021</v>
      </c>
      <c r="AH2" s="27">
        <f t="shared" ref="AH2:AH4" si="1">+O5</f>
        <v>15</v>
      </c>
      <c r="AI2" s="18">
        <f t="shared" ref="AI2:AI4" si="2">+P5</f>
        <v>435012.21651199996</v>
      </c>
    </row>
    <row r="3" spans="2:35" ht="18" customHeight="1" x14ac:dyDescent="0.25">
      <c r="B3" s="465" t="s">
        <v>56</v>
      </c>
      <c r="C3" s="464" t="s">
        <v>40</v>
      </c>
      <c r="D3" s="464"/>
      <c r="E3" s="464"/>
      <c r="F3" s="464" t="s">
        <v>43</v>
      </c>
      <c r="G3" s="464"/>
      <c r="H3" s="464"/>
      <c r="I3" s="464" t="s">
        <v>46</v>
      </c>
      <c r="J3" s="464"/>
      <c r="K3" s="464"/>
      <c r="L3" s="464" t="s">
        <v>47</v>
      </c>
      <c r="M3" s="464"/>
      <c r="N3" s="464"/>
      <c r="O3" s="467" t="s">
        <v>49</v>
      </c>
      <c r="P3" s="467"/>
      <c r="Q3" s="467"/>
      <c r="AC3" s="17" t="str">
        <f>+F3</f>
        <v>Invitación Privada</v>
      </c>
      <c r="AD3" s="18" t="e">
        <f>+G17</f>
        <v>#REF!</v>
      </c>
      <c r="AE3" s="19" t="e">
        <f>+AD3/$AD$6</f>
        <v>#REF!</v>
      </c>
      <c r="AG3" s="53" t="str">
        <f t="shared" si="0"/>
        <v>Jan</v>
      </c>
      <c r="AH3" s="27" t="e">
        <f t="shared" si="1"/>
        <v>#REF!</v>
      </c>
      <c r="AI3" s="18" t="e">
        <f t="shared" si="2"/>
        <v>#REF!</v>
      </c>
    </row>
    <row r="4" spans="2:35" ht="19.899999999999999" customHeight="1" x14ac:dyDescent="0.25">
      <c r="B4" s="466"/>
      <c r="C4" s="65" t="s">
        <v>50</v>
      </c>
      <c r="D4" s="409" t="s">
        <v>91</v>
      </c>
      <c r="E4" s="409"/>
      <c r="F4" s="65" t="s">
        <v>50</v>
      </c>
      <c r="G4" s="409" t="s">
        <v>91</v>
      </c>
      <c r="H4" s="409"/>
      <c r="I4" s="65" t="s">
        <v>50</v>
      </c>
      <c r="J4" s="409" t="s">
        <v>91</v>
      </c>
      <c r="K4" s="409"/>
      <c r="L4" s="65" t="s">
        <v>50</v>
      </c>
      <c r="M4" s="409" t="s">
        <v>91</v>
      </c>
      <c r="N4" s="409"/>
      <c r="O4" s="94" t="s">
        <v>50</v>
      </c>
      <c r="P4" s="445" t="s">
        <v>91</v>
      </c>
      <c r="Q4" s="445"/>
      <c r="AC4" s="17" t="str">
        <f>+I3</f>
        <v>Acuerdos Comerciales</v>
      </c>
      <c r="AD4" s="18">
        <f>+J17</f>
        <v>396.69968499999999</v>
      </c>
      <c r="AE4" s="19" t="e">
        <f>+AD4/$AD$6</f>
        <v>#REF!</v>
      </c>
      <c r="AG4" s="53" t="str">
        <f t="shared" si="0"/>
        <v>Feb</v>
      </c>
      <c r="AH4" s="27">
        <f t="shared" si="1"/>
        <v>25</v>
      </c>
      <c r="AI4" s="18">
        <f t="shared" si="2"/>
        <v>11472.992141999999</v>
      </c>
    </row>
    <row r="5" spans="2:35" ht="18" customHeight="1" x14ac:dyDescent="0.25">
      <c r="B5" s="20">
        <f>+CONTROL!A7</f>
        <v>2021</v>
      </c>
      <c r="C5" s="21">
        <f>+GETPIVOTDATA("Cuenta de Ítem",CONTROL!$A$4,"mes",2021,"Modalidad","Invitación Pública")</f>
        <v>11</v>
      </c>
      <c r="D5" s="438">
        <f>+GETPIVOTDATA("Suma de Valor     Presupuestado ",CONTROL!$A$4,"mes",2021,"Modalidad","Invitación Pública")/1000000</f>
        <v>419468.07671499997</v>
      </c>
      <c r="E5" s="438"/>
      <c r="F5" s="21">
        <f>+GETPIVOTDATA("Cuenta de Ítem",CONTROL!$A$4,"mes",2021,"Modalidad","Invitación Privada")</f>
        <v>2</v>
      </c>
      <c r="G5" s="451">
        <f>+GETPIVOTDATA("Suma de Valor     Presupuestado ",CONTROL!$A$4,"mes",2021,"Modalidad","Invitación Privada")/1000000</f>
        <v>5167.3017739999996</v>
      </c>
      <c r="H5" s="451"/>
      <c r="I5" s="21">
        <v>0</v>
      </c>
      <c r="J5" s="451">
        <v>0</v>
      </c>
      <c r="K5" s="451"/>
      <c r="L5" s="21">
        <f>+GETPIVOTDATA("Cuenta de Ítem",CONTROL!$A$4,"mes",2021,"Modalidad","CM")</f>
        <v>2</v>
      </c>
      <c r="M5" s="451">
        <f>+GETPIVOTDATA("Suma de Valor     Presupuestado ",CONTROL!$A$4,"mes",2021,"Modalidad","CM")/1000000</f>
        <v>10376.838023</v>
      </c>
      <c r="N5" s="451"/>
      <c r="O5" s="21">
        <f t="shared" ref="O5:P7" si="3">+C5+F5+I5+L5</f>
        <v>15</v>
      </c>
      <c r="P5" s="451">
        <f t="shared" si="3"/>
        <v>435012.21651199996</v>
      </c>
      <c r="Q5" s="451"/>
      <c r="AC5" s="17" t="str">
        <f>+L3</f>
        <v>Contratos Marco</v>
      </c>
      <c r="AD5" s="18" t="e">
        <f>+M17</f>
        <v>#REF!</v>
      </c>
      <c r="AE5" s="19" t="e">
        <f>+AD5/$AD$6</f>
        <v>#REF!</v>
      </c>
      <c r="AG5" s="53" t="str">
        <f t="shared" ref="AG5" si="4">+B8</f>
        <v>Mar</v>
      </c>
      <c r="AH5" s="27">
        <f t="shared" ref="AH5" si="5">+O8</f>
        <v>61</v>
      </c>
      <c r="AI5" s="18">
        <f t="shared" ref="AI5" si="6">+P8</f>
        <v>41428.170500126318</v>
      </c>
    </row>
    <row r="6" spans="2:35" ht="18" customHeight="1" x14ac:dyDescent="0.25">
      <c r="B6" s="22" t="str">
        <f>+CONTROL!A8</f>
        <v>Jan</v>
      </c>
      <c r="C6" s="23" t="e">
        <f>+GETPIVOTDATA("Cuenta de Ítem",CONTROL!$A$4,"mes","ene","Modalidad","Invitación Pública")</f>
        <v>#REF!</v>
      </c>
      <c r="D6" s="401" t="e">
        <f>+GETPIVOTDATA("Suma de Valor     Presupuestado ",CONTROL!$A$4,"mes","ENE","Modalidad","Invitación Pública")/1000000</f>
        <v>#REF!</v>
      </c>
      <c r="E6" s="401"/>
      <c r="F6" s="23" t="e">
        <f>+GETPIVOTDATA("Cuenta de Ítem",CONTROL!$A$3,"mes","ene","Modalidad","Invitación Privada")</f>
        <v>#REF!</v>
      </c>
      <c r="G6" s="401" t="e">
        <f>+GETPIVOTDATA("Suma de Valor     Presupuestado ",CONTROL!$A$3,"mes","ene","Modalidad","Invitación Privada")/1000000</f>
        <v>#REF!</v>
      </c>
      <c r="H6" s="401"/>
      <c r="I6" s="23">
        <v>0</v>
      </c>
      <c r="J6" s="401">
        <v>0</v>
      </c>
      <c r="K6" s="401"/>
      <c r="L6" s="23" t="e">
        <f>+GETPIVOTDATA("Cuenta de Ítem",CONTROL!$A$3,"mes","ene","Modalidad","CM")</f>
        <v>#REF!</v>
      </c>
      <c r="M6" s="401" t="e">
        <f>+GETPIVOTDATA("Suma de Valor     Presupuestado ",CONTROL!$A$3,"mes","ene","Modalidad","CM")/1000000</f>
        <v>#REF!</v>
      </c>
      <c r="N6" s="401"/>
      <c r="O6" s="23" t="e">
        <f t="shared" si="3"/>
        <v>#REF!</v>
      </c>
      <c r="P6" s="401" t="e">
        <f t="shared" si="3"/>
        <v>#REF!</v>
      </c>
      <c r="Q6" s="401"/>
      <c r="AC6" s="17" t="str">
        <f>+O3</f>
        <v>TOTAL</v>
      </c>
      <c r="AD6" s="18" t="e">
        <f>+P17</f>
        <v>#REF!</v>
      </c>
      <c r="AE6" s="19" t="e">
        <f>+AD6/$AD$6</f>
        <v>#REF!</v>
      </c>
      <c r="AG6" s="53" t="str">
        <f t="shared" ref="AG6" si="7">+B9</f>
        <v>Apr</v>
      </c>
      <c r="AH6" s="27" t="e">
        <f t="shared" ref="AH6" si="8">+O9</f>
        <v>#REF!</v>
      </c>
      <c r="AI6" s="18" t="e">
        <f t="shared" ref="AI6" si="9">+P9</f>
        <v>#REF!</v>
      </c>
    </row>
    <row r="7" spans="2:35" ht="18" customHeight="1" x14ac:dyDescent="0.25">
      <c r="B7" s="20" t="str">
        <f>+CONTROL!A9</f>
        <v>Feb</v>
      </c>
      <c r="C7" s="21">
        <f>+GETPIVOTDATA("Cuenta de Ítem",CONTROL!$A$4,"mes","feb","Modalidad","Invitación Pública")</f>
        <v>19</v>
      </c>
      <c r="D7" s="438">
        <f>+GETPIVOTDATA("Suma de Valor     Presupuestado ",CONTROL!$A$4,"mes","feb","Modalidad","Invitación Pública")/1000000</f>
        <v>8800.4575449999993</v>
      </c>
      <c r="E7" s="438"/>
      <c r="F7" s="21">
        <f>+GETPIVOTDATA("Cuenta de Ítem",CONTROL!$A$3,"mes","feb","Modalidad","Invitación Privada")</f>
        <v>0</v>
      </c>
      <c r="G7" s="451">
        <f>+GETPIVOTDATA("Suma de Valor     Presupuestado ",CONTROL!$A$3,"mes","feb","Modalidad","Invitación Privada")/1000000</f>
        <v>0</v>
      </c>
      <c r="H7" s="451"/>
      <c r="I7" s="21">
        <v>0</v>
      </c>
      <c r="J7" s="451">
        <v>0</v>
      </c>
      <c r="K7" s="451"/>
      <c r="L7" s="21">
        <f>+GETPIVOTDATA("Cuenta de Ítem",CONTROL!$A$3,"mes","feb","Modalidad","CM")</f>
        <v>6</v>
      </c>
      <c r="M7" s="438">
        <f>+GETPIVOTDATA("Suma de Valor     Presupuestado ",CONTROL!$A$3,"mes","feb","Modalidad","CM")/1000000</f>
        <v>2672.5345969999998</v>
      </c>
      <c r="N7" s="438"/>
      <c r="O7" s="21">
        <f t="shared" si="3"/>
        <v>25</v>
      </c>
      <c r="P7" s="451">
        <f t="shared" si="3"/>
        <v>11472.992141999999</v>
      </c>
      <c r="Q7" s="451"/>
      <c r="AG7" s="53" t="str">
        <f t="shared" ref="AG7" si="10">+B10</f>
        <v>May</v>
      </c>
      <c r="AH7" s="27">
        <f t="shared" ref="AH7" si="11">+O10</f>
        <v>34</v>
      </c>
      <c r="AI7" s="18">
        <f t="shared" ref="AI7" si="12">+P10</f>
        <v>54904.752830999998</v>
      </c>
    </row>
    <row r="8" spans="2:35" ht="18" customHeight="1" x14ac:dyDescent="0.25">
      <c r="B8" s="22" t="str">
        <f>+CONTROL!A10</f>
        <v>Mar</v>
      </c>
      <c r="C8" s="23">
        <f>+GETPIVOTDATA("Cuenta de Ítem",CONTROL!$A$4,"mes","mar","Modalidad","Invitación Pública")</f>
        <v>44</v>
      </c>
      <c r="D8" s="401">
        <f>+GETPIVOTDATA("Suma de Valor     Presupuestado ",CONTROL!$A$4,"mes","mar","Modalidad","Invitación Pública")/1000000</f>
        <v>19852.902142999999</v>
      </c>
      <c r="E8" s="401"/>
      <c r="F8" s="23">
        <f>+GETPIVOTDATA("Cuenta de Ítem",CONTROL!$A$3,"mes","mar","Modalidad","Invitación Privada")</f>
        <v>0</v>
      </c>
      <c r="G8" s="401">
        <f>+GETPIVOTDATA("Suma de Valor     Presupuestado ",CONTROL!$A$3,"mes","mar","Modalidad","Invitación Privada")/1000000</f>
        <v>0</v>
      </c>
      <c r="H8" s="401"/>
      <c r="I8" s="23">
        <f>+GETPIVOTDATA("Cuenta de Ítem",CONTROL!$A$3,"mes","mar","Modalidad","AC")</f>
        <v>1</v>
      </c>
      <c r="J8" s="401">
        <f>+GETPIVOTDATA("Suma de Valor     Presupuestado ",CONTROL!$A$4,"mes","mar","Modalidad","AC")/1000000</f>
        <v>1.7409699999999999</v>
      </c>
      <c r="K8" s="401"/>
      <c r="L8" s="23">
        <f>+GETPIVOTDATA("Cuenta de Ítem",CONTROL!$A$4,"mes","mar","Modalidad","CM")</f>
        <v>16</v>
      </c>
      <c r="M8" s="401">
        <f>+GETPIVOTDATA("Suma de Valor     Presupuestado ",CONTROL!$A$4,"mes","mar","Modalidad","CM")/1000000</f>
        <v>21573.527387126316</v>
      </c>
      <c r="N8" s="401"/>
      <c r="O8" s="23">
        <f t="shared" ref="O8:O9" si="13">+C8+F8+I8+L8</f>
        <v>61</v>
      </c>
      <c r="P8" s="401">
        <f t="shared" ref="P8:P9" si="14">+D8+G8+J8+M8</f>
        <v>41428.170500126318</v>
      </c>
      <c r="Q8" s="401"/>
      <c r="AG8" s="53" t="str">
        <f t="shared" ref="AG8" si="15">+B11</f>
        <v>Jun</v>
      </c>
      <c r="AH8" s="27">
        <f t="shared" ref="AH8" si="16">+O11</f>
        <v>54</v>
      </c>
      <c r="AI8" s="18">
        <f t="shared" ref="AI8" si="17">+P11</f>
        <v>17013.960250000004</v>
      </c>
    </row>
    <row r="9" spans="2:35" ht="18" customHeight="1" x14ac:dyDescent="0.25">
      <c r="B9" s="20" t="str">
        <f>+CONTROL!A11</f>
        <v>Apr</v>
      </c>
      <c r="C9" s="21" t="e">
        <f>+GETPIVOTDATA("Cuenta de Ítem",CONTROL!$A$4,"mes","ABR","Modalidad","Invitación Pública")</f>
        <v>#REF!</v>
      </c>
      <c r="D9" s="438" t="e">
        <f>+GETPIVOTDATA("Suma de Valor     Presupuestado ",CONTROL!$A$4,"mes","abr","Modalidad","Invitación Pública")/1000000</f>
        <v>#REF!</v>
      </c>
      <c r="E9" s="438"/>
      <c r="F9" s="21" t="e">
        <f>+GETPIVOTDATA("Cuenta de Ítem",CONTROL!$A$3,"mes","abr","Modalidad","Invitación Privada")</f>
        <v>#REF!</v>
      </c>
      <c r="G9" s="489" t="e">
        <f>+GETPIVOTDATA("Suma de Valor     Presupuestado ",CONTROL!$A$3,"mes","abr","Modalidad","Invitación Privada")/1000000</f>
        <v>#REF!</v>
      </c>
      <c r="H9" s="490"/>
      <c r="I9" s="21">
        <v>0</v>
      </c>
      <c r="J9" s="489">
        <v>0</v>
      </c>
      <c r="K9" s="490"/>
      <c r="L9" s="21" t="e">
        <f>+GETPIVOTDATA("Cuenta de Ítem",CONTROL!$A$3,"mes","ABR","Modalidad","CM")</f>
        <v>#REF!</v>
      </c>
      <c r="M9" s="438" t="e">
        <f>+GETPIVOTDATA("Suma de Valor     Presupuestado ",CONTROL!$A$3,"mes","ABR","Modalidad","CM")/1000000</f>
        <v>#REF!</v>
      </c>
      <c r="N9" s="438"/>
      <c r="O9" s="21" t="e">
        <f t="shared" si="13"/>
        <v>#REF!</v>
      </c>
      <c r="P9" s="451" t="e">
        <f t="shared" si="14"/>
        <v>#REF!</v>
      </c>
      <c r="Q9" s="451"/>
      <c r="AG9" s="53" t="str">
        <f t="shared" ref="AG9" si="18">+B12</f>
        <v>Jul</v>
      </c>
      <c r="AH9" s="27">
        <f t="shared" ref="AH9" si="19">+O12</f>
        <v>90</v>
      </c>
      <c r="AI9" s="18">
        <f t="shared" ref="AI9" si="20">+P12</f>
        <v>80332.695019999999</v>
      </c>
    </row>
    <row r="10" spans="2:35" ht="18" customHeight="1" x14ac:dyDescent="0.25">
      <c r="B10" s="22" t="str">
        <f>+CONTROL!A12</f>
        <v>May</v>
      </c>
      <c r="C10" s="23">
        <f>+GETPIVOTDATA("Cuenta de Ítem",CONTROL!$A$4,"mes","may","Modalidad","Invitación Pública")</f>
        <v>21</v>
      </c>
      <c r="D10" s="401">
        <f>+GETPIVOTDATA("Suma de Valor     Presupuestado ",CONTROL!$A$4,"mes","may","Modalidad","Invitación Pública")/1000000</f>
        <v>50375.626568</v>
      </c>
      <c r="E10" s="401"/>
      <c r="F10" s="23">
        <f>+GETPIVOTDATA("Cuenta de Ítem",CONTROL!$A$3,"mes","may","Modalidad","Invitación Privada")</f>
        <v>2</v>
      </c>
      <c r="G10" s="401">
        <f>+GETPIVOTDATA("Suma de Valor     Presupuestado ",CONTROL!$A$3,"mes","may","Modalidad","Invitación Privada")/1000000</f>
        <v>165.19739899999999</v>
      </c>
      <c r="H10" s="401"/>
      <c r="I10" s="23">
        <v>0</v>
      </c>
      <c r="J10" s="401">
        <v>0</v>
      </c>
      <c r="K10" s="401"/>
      <c r="L10" s="23">
        <f>+GETPIVOTDATA("Cuenta de Ítem",CONTROL!$A$3,"mes","MAY","Modalidad","CM")</f>
        <v>11</v>
      </c>
      <c r="M10" s="401">
        <f>+GETPIVOTDATA("Suma de Valor     Presupuestado ",CONTROL!$A$4,"mes","may","Modalidad","CM")/1000000</f>
        <v>4363.9288640000004</v>
      </c>
      <c r="N10" s="401"/>
      <c r="O10" s="23">
        <f t="shared" ref="O10:O11" si="21">+C10+F10+I10+L10</f>
        <v>34</v>
      </c>
      <c r="P10" s="401">
        <f t="shared" ref="P10:P11" si="22">+D10+G10+J10+M10</f>
        <v>54904.752830999998</v>
      </c>
      <c r="Q10" s="401"/>
      <c r="AG10" s="53" t="str">
        <f t="shared" ref="AG10" si="23">+B13</f>
        <v>Aug</v>
      </c>
      <c r="AH10" s="27" t="e">
        <f t="shared" ref="AH10" si="24">+O13</f>
        <v>#REF!</v>
      </c>
      <c r="AI10" s="18" t="e">
        <f t="shared" ref="AI10" si="25">+P13</f>
        <v>#REF!</v>
      </c>
    </row>
    <row r="11" spans="2:35" ht="18" customHeight="1" x14ac:dyDescent="0.25">
      <c r="B11" s="20" t="str">
        <f>+CONTROL!A13</f>
        <v>Jun</v>
      </c>
      <c r="C11" s="21">
        <f>+GETPIVOTDATA("Cuenta de Ítem",CONTROL!$A$4,"mes","JUN","Modalidad","Invitación Pública")</f>
        <v>4</v>
      </c>
      <c r="D11" s="438">
        <f>+GETPIVOTDATA("Suma de Valor     Presupuestado ",CONTROL!$A$4,"mes","JUN","Modalidad","Invitación Pública")/1000000</f>
        <v>6219.1004800000001</v>
      </c>
      <c r="E11" s="438"/>
      <c r="F11" s="21">
        <f>+GETPIVOTDATA("Cuenta de Ítem",CONTROL!$A$3,"mes","JUN","Modalidad","Invitación Privada")</f>
        <v>48</v>
      </c>
      <c r="G11" s="489">
        <f>+GETPIVOTDATA("Suma de Valor     Presupuestado ",CONTROL!$A$3,"mes","JUN","Modalidad","Invitación Privada")/1000000</f>
        <v>8240.2909560000007</v>
      </c>
      <c r="H11" s="490"/>
      <c r="I11" s="21">
        <v>0</v>
      </c>
      <c r="J11" s="489">
        <v>0</v>
      </c>
      <c r="K11" s="490"/>
      <c r="L11" s="21">
        <f>+GETPIVOTDATA("Cuenta de Ítem",CONTROL!$A$3,"mes","JUN","Modalidad","CM")</f>
        <v>2</v>
      </c>
      <c r="M11" s="495">
        <f>+GETPIVOTDATA("Suma de Valor     Presupuestado ",CONTROL!$A$3,"mes","JUN","Modalidad","CM")/1000000</f>
        <v>2554.5688140000002</v>
      </c>
      <c r="N11" s="496"/>
      <c r="O11" s="21">
        <f t="shared" si="21"/>
        <v>54</v>
      </c>
      <c r="P11" s="489">
        <f t="shared" si="22"/>
        <v>17013.960250000004</v>
      </c>
      <c r="Q11" s="490"/>
      <c r="AG11" s="53" t="str">
        <f t="shared" ref="AG11" si="26">+B14</f>
        <v>Sep</v>
      </c>
      <c r="AH11" s="27">
        <f t="shared" ref="AH11" si="27">+O14</f>
        <v>41</v>
      </c>
      <c r="AI11" s="18">
        <f t="shared" ref="AI11" si="28">+P14</f>
        <v>53778.846770999997</v>
      </c>
    </row>
    <row r="12" spans="2:35" ht="18" customHeight="1" x14ac:dyDescent="0.25">
      <c r="B12" s="22" t="str">
        <f>+CONTROL!A14</f>
        <v>Jul</v>
      </c>
      <c r="C12" s="23">
        <f>+GETPIVOTDATA("Cuenta de Ítem",CONTROL!$A$4,"mes","jul","Modalidad","Invitación Pública")</f>
        <v>14</v>
      </c>
      <c r="D12" s="401">
        <f>+GETPIVOTDATA("Suma de Valor     Presupuestado ",CONTROL!$A$4,"mes","jul","Modalidad","Invitación Pública")/1000000</f>
        <v>46477.828771</v>
      </c>
      <c r="E12" s="401"/>
      <c r="F12" s="23">
        <f>+GETPIVOTDATA("Cuenta de Ítem",CONTROL!$A$3,"mes","jul","Modalidad","Invitación Privada")</f>
        <v>66</v>
      </c>
      <c r="G12" s="401">
        <f>+GETPIVOTDATA("Suma de Valor     Presupuestado ",CONTROL!$A$3,"mes","jul","Modalidad","Invitación Privada")/1000000</f>
        <v>16800.070052999999</v>
      </c>
      <c r="H12" s="401"/>
      <c r="I12" s="23">
        <v>0</v>
      </c>
      <c r="J12" s="401">
        <v>0</v>
      </c>
      <c r="K12" s="401"/>
      <c r="L12" s="23">
        <f>+GETPIVOTDATA("Cuenta de Ítem",CONTROL!$A$3,"mes","jul","Modalidad","CM")</f>
        <v>10</v>
      </c>
      <c r="M12" s="401">
        <f>+GETPIVOTDATA("Suma de Valor     Presupuestado ",CONTROL!$A$4,"mes","jul","Modalidad","CM")/1000000</f>
        <v>17054.796195999999</v>
      </c>
      <c r="N12" s="401"/>
      <c r="O12" s="23">
        <f t="shared" ref="O12:O13" si="29">+C12+F12+I12+L12</f>
        <v>90</v>
      </c>
      <c r="P12" s="401">
        <f t="shared" ref="P12:P13" si="30">+D12+G12+J12+M12</f>
        <v>80332.695019999999</v>
      </c>
      <c r="Q12" s="401"/>
      <c r="AG12" s="53" t="str">
        <f t="shared" ref="AG12" si="31">+B15</f>
        <v>Oct</v>
      </c>
      <c r="AH12" s="27">
        <f t="shared" ref="AH12" si="32">+O15</f>
        <v>4</v>
      </c>
      <c r="AI12" s="18">
        <f t="shared" ref="AI12" si="33">+P15</f>
        <v>1365.7419399999999</v>
      </c>
    </row>
    <row r="13" spans="2:35" ht="18" customHeight="1" x14ac:dyDescent="0.25">
      <c r="B13" s="20" t="str">
        <f>+CONTROL!A15</f>
        <v>Aug</v>
      </c>
      <c r="C13" s="21" t="e">
        <f>+GETPIVOTDATA("Cuenta de Ítem",CONTROL!$A$4,"mes","AGO","Modalidad","Invitación Pública")</f>
        <v>#REF!</v>
      </c>
      <c r="D13" s="438" t="e">
        <f>+GETPIVOTDATA("Suma de Valor     Presupuestado ",CONTROL!$A$4,"mes","AGO","Modalidad","Invitación Pública")/1000000</f>
        <v>#REF!</v>
      </c>
      <c r="E13" s="438"/>
      <c r="F13" s="21" t="e">
        <f>+GETPIVOTDATA("Cuenta de Ítem",CONTROL!$A$3,"mes","AGO","Modalidad","Invitación Privada")</f>
        <v>#REF!</v>
      </c>
      <c r="G13" s="489" t="e">
        <f>+GETPIVOTDATA("Suma de Valor     Presupuestado ",CONTROL!$A$3,"mes","AGO","Modalidad","Invitación Privada")/1000000</f>
        <v>#REF!</v>
      </c>
      <c r="H13" s="490"/>
      <c r="I13" s="21">
        <v>0</v>
      </c>
      <c r="J13" s="489">
        <v>0</v>
      </c>
      <c r="K13" s="490"/>
      <c r="L13" s="21" t="e">
        <f>+GETPIVOTDATA("Cuenta de Ítem",CONTROL!$A$3,"mes","AGO","Modalidad","CM")</f>
        <v>#REF!</v>
      </c>
      <c r="M13" s="495" t="e">
        <f>+GETPIVOTDATA("Suma de Valor     Presupuestado ",CONTROL!$A$3,"mes","AGO","Modalidad","CM")/1000000</f>
        <v>#REF!</v>
      </c>
      <c r="N13" s="496"/>
      <c r="O13" s="21" t="e">
        <f t="shared" si="29"/>
        <v>#REF!</v>
      </c>
      <c r="P13" s="489" t="e">
        <f t="shared" si="30"/>
        <v>#REF!</v>
      </c>
      <c r="Q13" s="490"/>
      <c r="AG13" s="53" t="str">
        <f t="shared" ref="AG13" si="34">+B16</f>
        <v>Nov</v>
      </c>
      <c r="AH13" s="27">
        <f t="shared" ref="AH13" si="35">+O16</f>
        <v>28</v>
      </c>
      <c r="AI13" s="18">
        <f t="shared" ref="AI13" si="36">+P16</f>
        <v>28107.796956999999</v>
      </c>
    </row>
    <row r="14" spans="2:35" ht="18" customHeight="1" x14ac:dyDescent="0.25">
      <c r="B14" s="22" t="str">
        <f>+CONTROL!A16</f>
        <v>Sep</v>
      </c>
      <c r="C14" s="23">
        <f>+GETPIVOTDATA("Cuenta de Ítem",CONTROL!$A$4,"mes","sep","Modalidad","Invitación Pública")</f>
        <v>3</v>
      </c>
      <c r="D14" s="401">
        <f>+GETPIVOTDATA("Suma de Valor     Presupuestado ",CONTROL!$A$4,"mes","sep","Modalidad","Invitación Pública")/1000000</f>
        <v>42798.784211999999</v>
      </c>
      <c r="E14" s="401"/>
      <c r="F14" s="23">
        <f>+GETPIVOTDATA("Cuenta de Ítem",CONTROL!$A$3,"mes","sep","Modalidad","Invitación Privada")</f>
        <v>34</v>
      </c>
      <c r="G14" s="504">
        <f>+GETPIVOTDATA("Suma de Valor     Presupuestado ",CONTROL!$A$3,"mes","sep","Modalidad","Invitación Privada")/1000000</f>
        <v>8467.7856339999998</v>
      </c>
      <c r="H14" s="505"/>
      <c r="I14" s="23">
        <v>0</v>
      </c>
      <c r="J14" s="504">
        <v>0</v>
      </c>
      <c r="K14" s="505"/>
      <c r="L14" s="23">
        <f>+GETPIVOTDATA("Cuenta de Ítem",CONTROL!$A$3,"mes","sep","Modalidad","CM")</f>
        <v>4</v>
      </c>
      <c r="M14" s="504">
        <f>+GETPIVOTDATA("Suma de Valor     Presupuestado ",CONTROL!$A$4,"mes","sep","Modalidad","CM")/1000000</f>
        <v>2512.2769250000001</v>
      </c>
      <c r="N14" s="505"/>
      <c r="O14" s="23">
        <f t="shared" ref="O14:O15" si="37">+C14+F14+I14+L14</f>
        <v>41</v>
      </c>
      <c r="P14" s="504">
        <f t="shared" ref="P14:P15" si="38">+D14+G14+J14+M14</f>
        <v>53778.846770999997</v>
      </c>
      <c r="Q14" s="505"/>
      <c r="AG14" s="53"/>
      <c r="AH14" s="27"/>
      <c r="AI14" s="18"/>
    </row>
    <row r="15" spans="2:35" ht="18" customHeight="1" x14ac:dyDescent="0.25">
      <c r="B15" s="20" t="str">
        <f>+CONTROL!A17</f>
        <v>Oct</v>
      </c>
      <c r="C15" s="21">
        <f>+GETPIVOTDATA("Cuenta de Ítem",CONTROL!$A$4,"mes","OCT","Modalidad","Invitación Pública")</f>
        <v>0</v>
      </c>
      <c r="D15" s="438">
        <f>+GETPIVOTDATA("Suma de Valor     Presupuestado ",CONTROL!$A$4,"mes","OCT","Modalidad","Invitación Pública")/1000000</f>
        <v>0</v>
      </c>
      <c r="E15" s="438"/>
      <c r="F15" s="21">
        <f>+GETPIVOTDATA("Cuenta de Ítem",CONTROL!$A$3,"mes","OCT","Modalidad","Invitación Privada")</f>
        <v>3</v>
      </c>
      <c r="G15" s="489">
        <f>+GETPIVOTDATA("Suma de Valor     Presupuestado ",CONTROL!$A$3,"mes","OCT","Modalidad","Invitación Privada")/1000000</f>
        <v>970.78322500000002</v>
      </c>
      <c r="H15" s="490"/>
      <c r="I15" s="32">
        <f>+GETPIVOTDATA("Cuenta de Ítem",CONTROL!$A$3,"mes","OCT","Modalidad","AC")</f>
        <v>1</v>
      </c>
      <c r="J15" s="438">
        <f>+GETPIVOTDATA("Suma de Valor     Presupuestado ",CONTROL!$A$4,"mes","OCT","Modalidad","AC")/1000000</f>
        <v>394.95871499999998</v>
      </c>
      <c r="K15" s="438"/>
      <c r="L15" s="21">
        <f>+GETPIVOTDATA("Cuenta de Ítem",CONTROL!$A$3,"mes","OCT","Modalidad","CM")</f>
        <v>0</v>
      </c>
      <c r="M15" s="495">
        <f>+GETPIVOTDATA("Suma de Valor     Presupuestado ",CONTROL!$A$3,"mes","OCT","Modalidad","CM")/1000000</f>
        <v>0</v>
      </c>
      <c r="N15" s="496"/>
      <c r="O15" s="21">
        <f t="shared" si="37"/>
        <v>4</v>
      </c>
      <c r="P15" s="489">
        <f t="shared" si="38"/>
        <v>1365.7419399999999</v>
      </c>
      <c r="Q15" s="490"/>
      <c r="AG15" s="53"/>
      <c r="AH15" s="27"/>
      <c r="AI15" s="18"/>
    </row>
    <row r="16" spans="2:35" ht="18" customHeight="1" x14ac:dyDescent="0.25">
      <c r="B16" s="22" t="str">
        <f>+CONTROL!A18</f>
        <v>Nov</v>
      </c>
      <c r="C16" s="23">
        <f>+GETPIVOTDATA("Cuenta de Ítem",CONTROL!$A$4,"mes","NOV","Modalidad","Invitación Pública")</f>
        <v>1</v>
      </c>
      <c r="D16" s="401">
        <f>+GETPIVOTDATA("Suma de Valor     Presupuestado ",CONTROL!$A$4,"mes","NOV","Modalidad","Invitación Pública")/1000000</f>
        <v>3082.8049449999999</v>
      </c>
      <c r="E16" s="401"/>
      <c r="F16" s="23">
        <f>+GETPIVOTDATA("Cuenta de Ítem",CONTROL!$A$3,"mes","NOV","Modalidad","Invitación Privada")</f>
        <v>27</v>
      </c>
      <c r="G16" s="504">
        <f>+GETPIVOTDATA("Suma de Valor     Presupuestado ",CONTROL!$A$3,"mes","NOV","Modalidad","Invitación Privada")/1000000</f>
        <v>25024.992011999999</v>
      </c>
      <c r="H16" s="505"/>
      <c r="I16" s="23">
        <v>0</v>
      </c>
      <c r="J16" s="504">
        <v>0</v>
      </c>
      <c r="K16" s="505"/>
      <c r="L16" s="23">
        <f>+GETPIVOTDATA("Cuenta de Ítem",CONTROL!$A$3,"mes","NOV","Modalidad","CM")</f>
        <v>0</v>
      </c>
      <c r="M16" s="504">
        <f>+GETPIVOTDATA("Suma de Valor     Presupuestado ",CONTROL!$A$4,"mes","NOV","Modalidad","CM")/1000000</f>
        <v>0</v>
      </c>
      <c r="N16" s="505"/>
      <c r="O16" s="23">
        <f t="shared" ref="O16" si="39">+C16+F16+I16+L16</f>
        <v>28</v>
      </c>
      <c r="P16" s="504">
        <f t="shared" ref="P16" si="40">+D16+G16+J16+M16</f>
        <v>28107.796956999999</v>
      </c>
      <c r="Q16" s="505"/>
      <c r="AG16" s="53"/>
      <c r="AH16" s="27"/>
      <c r="AI16" s="18"/>
    </row>
    <row r="17" spans="1:33" ht="18" customHeight="1" x14ac:dyDescent="0.25">
      <c r="B17" s="37" t="s">
        <v>49</v>
      </c>
      <c r="C17" s="35" t="e">
        <f>SUM(C5:C16)</f>
        <v>#REF!</v>
      </c>
      <c r="D17" s="448" t="e">
        <f>SUM(D5:D16)</f>
        <v>#REF!</v>
      </c>
      <c r="E17" s="448"/>
      <c r="F17" s="35" t="e">
        <f>SUM(F5:F16)</f>
        <v>#REF!</v>
      </c>
      <c r="G17" s="448" t="e">
        <f>SUM(G5:G16)</f>
        <v>#REF!</v>
      </c>
      <c r="H17" s="448"/>
      <c r="I17" s="35">
        <f>SUM(I5:I16)</f>
        <v>2</v>
      </c>
      <c r="J17" s="448">
        <f>SUM(J5:J16)</f>
        <v>396.69968499999999</v>
      </c>
      <c r="K17" s="448"/>
      <c r="L17" s="35" t="e">
        <f>SUM(L5:L16)</f>
        <v>#REF!</v>
      </c>
      <c r="M17" s="448" t="e">
        <f>SUM(M5:M16)</f>
        <v>#REF!</v>
      </c>
      <c r="N17" s="448"/>
      <c r="O17" s="35" t="e">
        <f>SUM(O5:O16)</f>
        <v>#REF!</v>
      </c>
      <c r="P17" s="448" t="e">
        <f>SUM(P5:P16)</f>
        <v>#REF!</v>
      </c>
      <c r="Q17" s="448"/>
    </row>
    <row r="18" spans="1:33" ht="18" customHeight="1" x14ac:dyDescent="0.25">
      <c r="A18" s="61"/>
      <c r="B18" s="58"/>
      <c r="C18" s="59"/>
      <c r="D18" s="60"/>
      <c r="E18" s="60"/>
      <c r="F18" s="59"/>
      <c r="G18" s="60"/>
      <c r="H18" s="60"/>
      <c r="I18" s="59"/>
      <c r="J18" s="60"/>
      <c r="K18" s="60"/>
      <c r="L18" s="59"/>
      <c r="M18" s="60"/>
      <c r="N18" s="60"/>
      <c r="O18" s="59"/>
      <c r="P18" s="60"/>
      <c r="Q18" s="60"/>
      <c r="R18" s="61"/>
    </row>
    <row r="19" spans="1:33" ht="30" customHeight="1" x14ac:dyDescent="0.25">
      <c r="B19" s="449" t="s">
        <v>94</v>
      </c>
      <c r="C19" s="450"/>
      <c r="D19" s="450"/>
      <c r="E19" s="450"/>
      <c r="F19" s="450"/>
      <c r="G19" s="450"/>
      <c r="H19" s="450"/>
      <c r="I19" s="450"/>
      <c r="J19" s="450"/>
      <c r="K19" s="450"/>
      <c r="L19" s="450"/>
      <c r="M19" s="450"/>
      <c r="N19" s="450"/>
      <c r="O19" s="450"/>
      <c r="P19" s="450"/>
      <c r="Q19" s="450"/>
      <c r="AA19" s="17" t="str">
        <f>+C21</f>
        <v>GUENAA</v>
      </c>
      <c r="AB19" s="18" t="e">
        <f>+D35</f>
        <v>#REF!</v>
      </c>
      <c r="AC19" s="19" t="e">
        <f>+AB19/AB23</f>
        <v>#REF!</v>
      </c>
      <c r="AD19" s="400" t="e">
        <f>SUM(AC19:AC21)</f>
        <v>#REF!</v>
      </c>
      <c r="AE19" s="27" t="e">
        <f>+C35</f>
        <v>#REF!</v>
      </c>
      <c r="AF19" s="19" t="e">
        <f>+AE19/AE23</f>
        <v>#REF!</v>
      </c>
      <c r="AG19" s="400" t="e">
        <f>SUM(AF19:AF21)</f>
        <v>#REF!</v>
      </c>
    </row>
    <row r="20" spans="1:33" ht="15" customHeight="1" x14ac:dyDescent="0.25">
      <c r="B20" s="465" t="s">
        <v>56</v>
      </c>
      <c r="C20" s="479" t="s">
        <v>57</v>
      </c>
      <c r="D20" s="480"/>
      <c r="E20" s="480"/>
      <c r="F20" s="480"/>
      <c r="G20" s="480"/>
      <c r="H20" s="480"/>
      <c r="I20" s="480"/>
      <c r="J20" s="480"/>
      <c r="K20" s="480"/>
      <c r="L20" s="481" t="s">
        <v>58</v>
      </c>
      <c r="M20" s="482"/>
      <c r="N20" s="483"/>
      <c r="O20" s="439" t="s">
        <v>49</v>
      </c>
      <c r="P20" s="440"/>
      <c r="Q20" s="441"/>
      <c r="AA20" s="17" t="str">
        <f>+F21</f>
        <v>GUENE</v>
      </c>
      <c r="AB20" s="18" t="e">
        <f>+G35</f>
        <v>#REF!</v>
      </c>
      <c r="AC20" s="19" t="e">
        <f>+AB20/AB23</f>
        <v>#REF!</v>
      </c>
      <c r="AD20" s="400"/>
      <c r="AE20" s="27" t="e">
        <f>+F35</f>
        <v>#REF!</v>
      </c>
      <c r="AF20" s="19" t="e">
        <f>+AE20/AE23</f>
        <v>#REF!</v>
      </c>
      <c r="AG20" s="400"/>
    </row>
    <row r="21" spans="1:33" ht="13.15" customHeight="1" x14ac:dyDescent="0.25">
      <c r="B21" s="465"/>
      <c r="C21" s="479" t="s">
        <v>28</v>
      </c>
      <c r="D21" s="480"/>
      <c r="E21" s="487"/>
      <c r="F21" s="479" t="s">
        <v>32</v>
      </c>
      <c r="G21" s="480"/>
      <c r="H21" s="487"/>
      <c r="I21" s="479" t="s">
        <v>1559</v>
      </c>
      <c r="J21" s="480"/>
      <c r="K21" s="487"/>
      <c r="L21" s="484"/>
      <c r="M21" s="485"/>
      <c r="N21" s="486"/>
      <c r="O21" s="442"/>
      <c r="P21" s="443"/>
      <c r="Q21" s="444"/>
      <c r="AA21" s="17" t="str">
        <f>+I21</f>
        <v>GUENTIC</v>
      </c>
      <c r="AB21" s="18" t="e">
        <f>+J35</f>
        <v>#REF!</v>
      </c>
      <c r="AC21" s="19" t="e">
        <f>+AB21/AB23</f>
        <v>#REF!</v>
      </c>
      <c r="AD21" s="400"/>
      <c r="AE21" s="27" t="e">
        <f>+I35</f>
        <v>#REF!</v>
      </c>
      <c r="AF21" s="19" t="e">
        <f>+AE21/AE23</f>
        <v>#REF!</v>
      </c>
      <c r="AG21" s="400"/>
    </row>
    <row r="22" spans="1:33" ht="22.9" customHeight="1" x14ac:dyDescent="0.25">
      <c r="B22" s="465"/>
      <c r="C22" s="65" t="s">
        <v>50</v>
      </c>
      <c r="D22" s="409" t="s">
        <v>91</v>
      </c>
      <c r="E22" s="409"/>
      <c r="F22" s="65" t="s">
        <v>50</v>
      </c>
      <c r="G22" s="409" t="s">
        <v>91</v>
      </c>
      <c r="H22" s="409"/>
      <c r="I22" s="65" t="s">
        <v>50</v>
      </c>
      <c r="J22" s="409" t="s">
        <v>91</v>
      </c>
      <c r="K22" s="409"/>
      <c r="L22" s="65" t="s">
        <v>50</v>
      </c>
      <c r="M22" s="409" t="s">
        <v>91</v>
      </c>
      <c r="N22" s="409"/>
      <c r="O22" s="102" t="s">
        <v>50</v>
      </c>
      <c r="P22" s="445" t="s">
        <v>91</v>
      </c>
      <c r="Q22" s="445"/>
      <c r="AA22" s="17" t="str">
        <f>+L20</f>
        <v>APOYO</v>
      </c>
      <c r="AB22" s="18" t="e">
        <f>+M35</f>
        <v>#REF!</v>
      </c>
      <c r="AC22" s="19" t="e">
        <f>+AB22/AB23</f>
        <v>#REF!</v>
      </c>
      <c r="AE22" s="27" t="e">
        <f>+L35</f>
        <v>#REF!</v>
      </c>
      <c r="AF22" s="19" t="e">
        <f>+AE22/AE23</f>
        <v>#REF!</v>
      </c>
    </row>
    <row r="23" spans="1:33" ht="18" customHeight="1" x14ac:dyDescent="0.25">
      <c r="B23" s="25">
        <f>+CONTROL!A109</f>
        <v>2021</v>
      </c>
      <c r="C23" s="25">
        <f>+GETPIVOTDATA("Cuenta de Ítem",CONTROL!$A$106,"Gerencia","GUENAA","mes",2021)</f>
        <v>6</v>
      </c>
      <c r="D23" s="478">
        <f>+GETPIVOTDATA("Suma de Valor     Presupuestado ",CONTROL!$A$106,"Gerencia","GUENAA","mes",2021)/1000000</f>
        <v>84102.836498000004</v>
      </c>
      <c r="E23" s="478"/>
      <c r="F23" s="25">
        <f>+GETPIVOTDATA("Cuenta de Ítem",CONTROL!$A$106,"Gerencia","GUENE","mes",2021)</f>
        <v>8</v>
      </c>
      <c r="G23" s="478">
        <f>+GETPIVOTDATA("Suma de Valor     Presupuestado ",CONTROL!$A$106,"Gerencia","GUENE","mes",2021)/1000000</f>
        <v>350909.38001399999</v>
      </c>
      <c r="H23" s="478"/>
      <c r="I23" s="25">
        <f>+GETPIVOTDATA("Cuenta de Ítem",CONTROL!$A$106,"Gerencia","GUENT","mes",2021)</f>
        <v>1</v>
      </c>
      <c r="J23" s="478">
        <f>+GETPIVOTDATA("Suma de Valor     Presupuestado ",CONTROL!$A$106,"Gerencia","GUENT","mes",2021)</f>
        <v>0</v>
      </c>
      <c r="K23" s="478"/>
      <c r="L23" s="21">
        <f>+O23-C23-F23-I23</f>
        <v>0</v>
      </c>
      <c r="M23" s="478">
        <f>+P23-D23-G23-J23</f>
        <v>-5.8207660913467407E-11</v>
      </c>
      <c r="N23" s="478"/>
      <c r="O23" s="21">
        <f t="shared" ref="O23:P25" si="41">+O5</f>
        <v>15</v>
      </c>
      <c r="P23" s="446">
        <f t="shared" si="41"/>
        <v>435012.21651199996</v>
      </c>
      <c r="Q23" s="447"/>
      <c r="AB23" s="18" t="e">
        <f>SUM(AB19:AB22)</f>
        <v>#REF!</v>
      </c>
      <c r="AE23" s="27" t="e">
        <f>SUM(AE19:AE22)</f>
        <v>#REF!</v>
      </c>
    </row>
    <row r="24" spans="1:33" ht="18" customHeight="1" x14ac:dyDescent="0.25">
      <c r="B24" s="26" t="str">
        <f>+CONTROL!A110</f>
        <v>Jan</v>
      </c>
      <c r="C24" s="26" t="e">
        <f>+GETPIVOTDATA("Cuenta de Ítem",CONTROL!$A$106,"Gerencia","GUENAA","mes","ene")</f>
        <v>#REF!</v>
      </c>
      <c r="D24" s="405" t="e">
        <f>+GETPIVOTDATA("Suma de Valor     Presupuestado ",CONTROL!$A$106,"Gerencia","GUENAA","mes","ene")/1000000</f>
        <v>#REF!</v>
      </c>
      <c r="E24" s="405"/>
      <c r="F24" s="26" t="e">
        <f>+GETPIVOTDATA("Cuenta de Ítem",CONTROL!$A$106,"Gerencia","GUENE","mes","ene")</f>
        <v>#REF!</v>
      </c>
      <c r="G24" s="405" t="e">
        <f>+GETPIVOTDATA("Suma de Valor     Presupuestado ",CONTROL!$A$106,"Gerencia","GUENE","mes","ene")/1000000</f>
        <v>#REF!</v>
      </c>
      <c r="H24" s="405"/>
      <c r="I24" s="26" t="e">
        <f>+GETPIVOTDATA("Cuenta de Ítem",CONTROL!$A$106,"Gerencia","GUENT","mes","ene")</f>
        <v>#REF!</v>
      </c>
      <c r="J24" s="405" t="e">
        <f>+GETPIVOTDATA("Suma de Valor     Presupuestado ",CONTROL!$A$106,"Gerencia","GUENT","mes","ene")/1000000</f>
        <v>#REF!</v>
      </c>
      <c r="K24" s="405"/>
      <c r="L24" s="23" t="e">
        <f t="shared" ref="L24:L25" si="42">+O24-C24-F24-I24</f>
        <v>#REF!</v>
      </c>
      <c r="M24" s="405" t="e">
        <f t="shared" ref="M24:M25" si="43">+P24-D24-G24-J24</f>
        <v>#REF!</v>
      </c>
      <c r="N24" s="405"/>
      <c r="O24" s="23" t="e">
        <f t="shared" si="41"/>
        <v>#REF!</v>
      </c>
      <c r="P24" s="406" t="e">
        <f t="shared" si="41"/>
        <v>#REF!</v>
      </c>
      <c r="Q24" s="407"/>
    </row>
    <row r="25" spans="1:33" ht="18" customHeight="1" x14ac:dyDescent="0.25">
      <c r="B25" s="25" t="str">
        <f>+CONTROL!A111</f>
        <v>Feb</v>
      </c>
      <c r="C25" s="25">
        <f>+GETPIVOTDATA("Cuenta de Ítem",CONTROL!$A$106,"Gerencia","GUENAA","mes","feb")</f>
        <v>21</v>
      </c>
      <c r="D25" s="478">
        <f>+GETPIVOTDATA("Suma de Valor     Presupuestado ",CONTROL!$A$106,"Gerencia","GUENAA","mes","feb")/1000000</f>
        <v>6585.8495149999999</v>
      </c>
      <c r="E25" s="478"/>
      <c r="F25" s="31">
        <f>+GETPIVOTDATA("Cuenta de Ítem",CONTROL!$A$106,"Gerencia","GUENE","mes","feb")</f>
        <v>0</v>
      </c>
      <c r="G25" s="478">
        <f>+GETPIVOTDATA("Suma de Valor     Presupuestado ",CONTROL!$A$106,"Gerencia","GUENE","mes","feb")/1000000</f>
        <v>0</v>
      </c>
      <c r="H25" s="478"/>
      <c r="I25" s="31">
        <f>+GETPIVOTDATA("Cuenta de Ítem",CONTROL!$A$106,"Gerencia","GUENT","mes","feb")</f>
        <v>1</v>
      </c>
      <c r="J25" s="478">
        <f>+GETPIVOTDATA("Suma de Valor     Presupuestado ",CONTROL!$A$106,"Gerencia","GUENT","mes","feb")/1000000</f>
        <v>1363.682642</v>
      </c>
      <c r="K25" s="478"/>
      <c r="L25" s="32">
        <f t="shared" si="42"/>
        <v>3</v>
      </c>
      <c r="M25" s="478">
        <f t="shared" si="43"/>
        <v>3523.4599849999995</v>
      </c>
      <c r="N25" s="478"/>
      <c r="O25" s="32">
        <f t="shared" si="41"/>
        <v>25</v>
      </c>
      <c r="P25" s="446">
        <f t="shared" si="41"/>
        <v>11472.992141999999</v>
      </c>
      <c r="Q25" s="447"/>
    </row>
    <row r="26" spans="1:33" ht="18" customHeight="1" x14ac:dyDescent="0.25">
      <c r="B26" s="26" t="str">
        <f>+CONTROL!A112</f>
        <v>Mar</v>
      </c>
      <c r="C26" s="26">
        <f>+GETPIVOTDATA("Cuenta de Ítem",CONTROL!$A$106,"Gerencia","GUENAA","mes","mar")</f>
        <v>42</v>
      </c>
      <c r="D26" s="405">
        <f>+GETPIVOTDATA("Suma de Valor     Presupuestado ",CONTROL!$A$106,"Gerencia","GUENAA","mes","mar")/1000000</f>
        <v>24616.345029599997</v>
      </c>
      <c r="E26" s="405"/>
      <c r="F26" s="26">
        <f>+GETPIVOTDATA("Cuenta de Ítem",CONTROL!$A$106,"Gerencia","GUENE","mes","mar")</f>
        <v>6</v>
      </c>
      <c r="G26" s="405">
        <f>+GETPIVOTDATA("Suma de Valor     Presupuestado ",CONTROL!$A$106,"Gerencia","GUENE","mes","mar")/1000000</f>
        <v>6473.3846665263154</v>
      </c>
      <c r="H26" s="405"/>
      <c r="I26" s="26">
        <f>+GETPIVOTDATA("Cuenta de Ítem",CONTROL!$A$106,"Gerencia","GUENT","mes","mar")</f>
        <v>3</v>
      </c>
      <c r="J26" s="405">
        <f>+GETPIVOTDATA("Suma de Valor     Presupuestado ",CONTROL!$A$106,"Gerencia","GUENT","mes","mar")/1000000</f>
        <v>3118.7480439999999</v>
      </c>
      <c r="K26" s="405"/>
      <c r="L26" s="23">
        <f t="shared" ref="L26" si="44">+O26-C26-F26-I26</f>
        <v>11</v>
      </c>
      <c r="M26" s="405">
        <f t="shared" ref="M26" si="45">+P26-D26-G26-J26</f>
        <v>7219.6927599999981</v>
      </c>
      <c r="N26" s="405"/>
      <c r="O26" s="23">
        <f>+GETPIVOTDATA("Cuenta de Ítem",CONTROL!$A$106,"mes","mar")</f>
        <v>62</v>
      </c>
      <c r="P26" s="406">
        <f>+GETPIVOTDATA("Suma de Valor     Presupuestado ",CONTROL!$A$106,"mes","mar")/1000000</f>
        <v>41428.170500126311</v>
      </c>
      <c r="Q26" s="407"/>
      <c r="AD26" s="18"/>
      <c r="AE26" s="19"/>
    </row>
    <row r="27" spans="1:33" ht="18" customHeight="1" x14ac:dyDescent="0.25">
      <c r="B27" s="25" t="str">
        <f>+CONTROL!A113</f>
        <v>Apr</v>
      </c>
      <c r="C27" s="31" t="e">
        <f>+GETPIVOTDATA("Cuenta de Ítem",CONTROL!$A$106,"Gerencia","GUENAA","mes","ABR")</f>
        <v>#REF!</v>
      </c>
      <c r="D27" s="478" t="e">
        <f>+GETPIVOTDATA("Suma de Valor     Presupuestado ",CONTROL!$A$106,"Gerencia","GUENAA","mes","ABR")/1000000</f>
        <v>#REF!</v>
      </c>
      <c r="E27" s="478"/>
      <c r="F27" s="31" t="e">
        <f>+GETPIVOTDATA("Cuenta de Ítem",CONTROL!$A$106,"Gerencia","GUENE","mes","ABR")</f>
        <v>#REF!</v>
      </c>
      <c r="G27" s="478" t="e">
        <f>+GETPIVOTDATA("Suma de Valor     Presupuestado ",CONTROL!$A$106,"Gerencia","GUENE","mes","ABR")/1000000</f>
        <v>#REF!</v>
      </c>
      <c r="H27" s="478"/>
      <c r="I27" s="31" t="e">
        <f>+GETPIVOTDATA("Cuenta de Ítem",CONTROL!$A$106,"Gerencia","GUENT","mes","ABR")</f>
        <v>#REF!</v>
      </c>
      <c r="J27" s="478" t="e">
        <f>+GETPIVOTDATA("Suma de Valor     Presupuestado ",CONTROL!$A$106,"Gerencia","GUENT","mes","ABR")/1000000</f>
        <v>#REF!</v>
      </c>
      <c r="K27" s="478"/>
      <c r="L27" s="32" t="e">
        <f t="shared" ref="L27:L28" si="46">+O27-C27-F27-I27</f>
        <v>#REF!</v>
      </c>
      <c r="M27" s="478" t="e">
        <f t="shared" ref="M27:M28" si="47">+P27-D27-G27-J27</f>
        <v>#REF!</v>
      </c>
      <c r="N27" s="478"/>
      <c r="O27" s="32" t="e">
        <f>+GETPIVOTDATA("Cuenta de Ítem",CONTROL!$A$106,"mes","ABR")</f>
        <v>#REF!</v>
      </c>
      <c r="P27" s="446" t="e">
        <f>+GETPIVOTDATA("Suma de Valor     Presupuestado ",CONTROL!$A$106,"mes","ABR")/1000000</f>
        <v>#REF!</v>
      </c>
      <c r="Q27" s="447"/>
      <c r="AD27" s="18"/>
      <c r="AE27" s="19"/>
    </row>
    <row r="28" spans="1:33" ht="18" customHeight="1" x14ac:dyDescent="0.25">
      <c r="B28" s="26" t="str">
        <f>+CONTROL!A114</f>
        <v>May</v>
      </c>
      <c r="C28" s="26">
        <f>+GETPIVOTDATA("Cuenta de Ítem",CONTROL!$A$106,"Gerencia","GUENAA","mes","maY")</f>
        <v>15</v>
      </c>
      <c r="D28" s="405">
        <f>+GETPIVOTDATA("Suma de Valor     Presupuestado ",CONTROL!$A$106,"Gerencia","GUENAA","mes","maY")/1000000</f>
        <v>31845.114624999998</v>
      </c>
      <c r="E28" s="405"/>
      <c r="F28" s="26">
        <f>+GETPIVOTDATA("Cuenta de Ítem",CONTROL!$A$106,"Gerencia","GUENE","mes","maY")</f>
        <v>8</v>
      </c>
      <c r="G28" s="405">
        <f>+GETPIVOTDATA("Suma de Valor     Presupuestado ",CONTROL!$A$106,"Gerencia","GUENE","mes","maY")/1000000</f>
        <v>11818.543897</v>
      </c>
      <c r="H28" s="405"/>
      <c r="I28" s="26">
        <f>+GETPIVOTDATA("Cuenta de Ítem",CONTROL!$A$106,"Gerencia","GUENT","mes","maY")</f>
        <v>2</v>
      </c>
      <c r="J28" s="405">
        <f>+GETPIVOTDATA("Suma de Valor     Presupuestado ",CONTROL!$A$106,"Gerencia","GUENT","mes","maY")/1000000</f>
        <v>4224.2947219999996</v>
      </c>
      <c r="K28" s="405"/>
      <c r="L28" s="23">
        <f t="shared" si="46"/>
        <v>11</v>
      </c>
      <c r="M28" s="405">
        <f t="shared" si="47"/>
        <v>7106.969587000006</v>
      </c>
      <c r="N28" s="405"/>
      <c r="O28" s="23">
        <f>+GETPIVOTDATA("Cuenta de Ítem",CONTROL!$A$106,"mes","maY")</f>
        <v>36</v>
      </c>
      <c r="P28" s="406">
        <f>+GETPIVOTDATA("Suma de Valor     Presupuestado ",CONTROL!$A$106,"mes","maY")/1000000</f>
        <v>54994.922831000003</v>
      </c>
      <c r="Q28" s="407"/>
      <c r="AD28" s="18"/>
      <c r="AE28" s="19"/>
    </row>
    <row r="29" spans="1:33" ht="18" customHeight="1" x14ac:dyDescent="0.25">
      <c r="B29" s="25" t="str">
        <f>+CONTROL!A115</f>
        <v>Jun</v>
      </c>
      <c r="C29" s="31">
        <f>+GETPIVOTDATA("Cuenta de Ítem",CONTROL!$A$106,"Gerencia","GUENAA","mes","JUN")</f>
        <v>26</v>
      </c>
      <c r="D29" s="478">
        <f>+GETPIVOTDATA("Suma de Valor     Presupuestado ",CONTROL!$A$106,"Gerencia","GUENAA","mes","JUN")/1000000</f>
        <v>7973.0038599999998</v>
      </c>
      <c r="E29" s="478"/>
      <c r="F29" s="31">
        <f>+GETPIVOTDATA("Cuenta de Ítem",CONTROL!$A$106,"Gerencia","GUENE","mes","JUN")</f>
        <v>8</v>
      </c>
      <c r="G29" s="478">
        <f>+GETPIVOTDATA("Suma de Valor     Presupuestado ",CONTROL!$A$106,"Gerencia","GUENE","mes","JUN")/1000000</f>
        <v>5426.6503489999996</v>
      </c>
      <c r="H29" s="478"/>
      <c r="I29" s="31">
        <f>+GETPIVOTDATA("Cuenta de Ítem",CONTROL!$A$106,"Gerencia","GUENT","mes","JUN")</f>
        <v>4</v>
      </c>
      <c r="J29" s="478">
        <f>+GETPIVOTDATA("Suma de Valor     Presupuestado ",CONTROL!$A$106,"Gerencia","GUENT","mes","JUN")/1000000</f>
        <v>86.969577999999998</v>
      </c>
      <c r="K29" s="478"/>
      <c r="L29" s="32">
        <f t="shared" ref="L29:L30" si="48">+O29-C29-F29-I29</f>
        <v>8</v>
      </c>
      <c r="M29" s="478">
        <f t="shared" ref="M29:M30" si="49">+P29-D29-G29-J29</f>
        <v>2936.5457009999991</v>
      </c>
      <c r="N29" s="478"/>
      <c r="O29" s="32">
        <f>+GETPIVOTDATA("Cuenta de Ítem",CONTROL!$A$106,"mes","JUN")</f>
        <v>46</v>
      </c>
      <c r="P29" s="446">
        <f>+GETPIVOTDATA("Suma de Valor     Presupuestado ",CONTROL!$A$106,"mes","JUN")/1000000</f>
        <v>16423.169488</v>
      </c>
      <c r="Q29" s="447"/>
      <c r="AD29" s="18"/>
      <c r="AE29" s="19"/>
    </row>
    <row r="30" spans="1:33" ht="18" customHeight="1" x14ac:dyDescent="0.25">
      <c r="B30" s="26" t="str">
        <f>+CONTROL!A116</f>
        <v>Jul</v>
      </c>
      <c r="C30" s="26">
        <f>+GETPIVOTDATA("Cuenta de Ítem",CONTROL!$A$106,"Gerencia","GUENAA","mes","jul")</f>
        <v>1</v>
      </c>
      <c r="D30" s="405">
        <f>+GETPIVOTDATA("Suma de Valor     Presupuestado ",CONTROL!$A$106,"Gerencia","GUENAA","mes","jul")/1000000</f>
        <v>26.256453</v>
      </c>
      <c r="E30" s="405"/>
      <c r="F30" s="26">
        <f>+GETPIVOTDATA("Cuenta de Ítem",CONTROL!$A$106,"Gerencia","GUENE","mes","jul")</f>
        <v>0</v>
      </c>
      <c r="G30" s="405">
        <f>+GETPIVOTDATA("Suma de Valor     Presupuestado ",CONTROL!$A$106,"Gerencia","GUENE","mes","jul")/1000000</f>
        <v>0</v>
      </c>
      <c r="H30" s="405"/>
      <c r="I30" s="26">
        <f>+GETPIVOTDATA("Cuenta de Ítem",CONTROL!$A$106,"Gerencia","GUENT","mes","jul")</f>
        <v>0</v>
      </c>
      <c r="J30" s="405">
        <f>+GETPIVOTDATA("Suma de Valor     Presupuestado ",CONTROL!$A$106,"Gerencia","GUENT","mes","jul")/1000000</f>
        <v>0</v>
      </c>
      <c r="K30" s="405"/>
      <c r="L30" s="23">
        <f t="shared" si="48"/>
        <v>0</v>
      </c>
      <c r="M30" s="405">
        <f t="shared" si="49"/>
        <v>0</v>
      </c>
      <c r="N30" s="405"/>
      <c r="O30" s="23">
        <f>+GETPIVOTDATA("Cuenta de Ítem",CONTROL!$A$106,"mes","jul")</f>
        <v>1</v>
      </c>
      <c r="P30" s="406">
        <f>+GETPIVOTDATA("Suma de Valor     Presupuestado ",CONTROL!$A$106,"mes","jul")/1000000</f>
        <v>26.256453</v>
      </c>
      <c r="Q30" s="407"/>
      <c r="AD30" s="18"/>
      <c r="AE30" s="19"/>
    </row>
    <row r="31" spans="1:33" ht="18" customHeight="1" x14ac:dyDescent="0.25">
      <c r="B31" s="25" t="str">
        <f>+CONTROL!A117</f>
        <v>Total general</v>
      </c>
      <c r="C31" s="31" t="e">
        <f>+GETPIVOTDATA("Cuenta de Ítem",CONTROL!$A$106,"Gerencia","GUENAA","mes","ago")</f>
        <v>#REF!</v>
      </c>
      <c r="D31" s="478" t="e">
        <f>+GETPIVOTDATA("Suma de Valor     Presupuestado ",CONTROL!$A$106,"Gerencia","GUENAA","mes","ago")/1000000</f>
        <v>#REF!</v>
      </c>
      <c r="E31" s="478"/>
      <c r="F31" s="31" t="e">
        <f>+GETPIVOTDATA("Cuenta de Ítem",CONTROL!$A$106,"Gerencia","GUENE","mes","ago")</f>
        <v>#REF!</v>
      </c>
      <c r="G31" s="478" t="e">
        <f>+GETPIVOTDATA("Suma de Valor     Presupuestado ",CONTROL!$A$106,"Gerencia","GUENE","mes","ago")/1000000</f>
        <v>#REF!</v>
      </c>
      <c r="H31" s="478"/>
      <c r="I31" s="31" t="e">
        <f>+GETPIVOTDATA("Cuenta de Ítem",CONTROL!$A$106,"Gerencia","GUENT","mes","ago")</f>
        <v>#REF!</v>
      </c>
      <c r="J31" s="478" t="e">
        <f>+GETPIVOTDATA("Suma de Valor     Presupuestado ",CONTROL!$A$106,"Gerencia","GUENT","mes","ago")/1000000</f>
        <v>#REF!</v>
      </c>
      <c r="K31" s="478"/>
      <c r="L31" s="32" t="e">
        <f t="shared" ref="L31:L32" si="50">+O31-C31-F31-I31</f>
        <v>#REF!</v>
      </c>
      <c r="M31" s="478" t="e">
        <f t="shared" ref="M31:M32" si="51">+P31-D31-G31-J31</f>
        <v>#REF!</v>
      </c>
      <c r="N31" s="478"/>
      <c r="O31" s="32" t="e">
        <f>+GETPIVOTDATA("Cuenta de Ítem",CONTROL!$A$106,"mes","ago")</f>
        <v>#REF!</v>
      </c>
      <c r="P31" s="446" t="e">
        <f>+GETPIVOTDATA("Suma de Valor     Presupuestado ",CONTROL!$A$106,"mes","ago")/1000000</f>
        <v>#REF!</v>
      </c>
      <c r="Q31" s="447"/>
      <c r="AD31" s="18"/>
      <c r="AE31" s="19"/>
    </row>
    <row r="32" spans="1:33" ht="18" customHeight="1" x14ac:dyDescent="0.25">
      <c r="B32" s="26">
        <f>+CONTROL!A118</f>
        <v>0</v>
      </c>
      <c r="C32" s="26" t="e">
        <f>+GETPIVOTDATA("Cuenta de Ítem",CONTROL!$A$106,"Gerencia","GUENAA","mes","sep")</f>
        <v>#REF!</v>
      </c>
      <c r="D32" s="405" t="e">
        <f>+GETPIVOTDATA("Suma de Valor     Presupuestado ",CONTROL!$A$106,"Gerencia","GUENAA","mes","sep")/1000000</f>
        <v>#REF!</v>
      </c>
      <c r="E32" s="405"/>
      <c r="F32" s="26" t="e">
        <f>+GETPIVOTDATA("Cuenta de Ítem",CONTROL!$A$106,"Gerencia","GUENE","mes","sep")</f>
        <v>#REF!</v>
      </c>
      <c r="G32" s="405" t="e">
        <f>+GETPIVOTDATA("Suma de Valor     Presupuestado ",CONTROL!$A$106,"Gerencia","GUENE","mes","sep")/1000000</f>
        <v>#REF!</v>
      </c>
      <c r="H32" s="405"/>
      <c r="I32" s="26" t="e">
        <f>+GETPIVOTDATA("Cuenta de Ítem",CONTROL!$A$106,"Gerencia","GUENT","mes","sep")</f>
        <v>#REF!</v>
      </c>
      <c r="J32" s="405" t="e">
        <f>+GETPIVOTDATA("Suma de Valor     Presupuestado ",CONTROL!$A$106,"Gerencia","GUENT","mes","sep")/1000000</f>
        <v>#REF!</v>
      </c>
      <c r="K32" s="405"/>
      <c r="L32" s="23" t="e">
        <f t="shared" si="50"/>
        <v>#REF!</v>
      </c>
      <c r="M32" s="405" t="e">
        <f t="shared" si="51"/>
        <v>#REF!</v>
      </c>
      <c r="N32" s="405"/>
      <c r="O32" s="23" t="e">
        <f>+GETPIVOTDATA("Cuenta de Ítem",CONTROL!$A$106,"mes","sep")</f>
        <v>#REF!</v>
      </c>
      <c r="P32" s="406" t="e">
        <f>+GETPIVOTDATA("Suma de Valor     Presupuestado ",CONTROL!$A$106,"mes","sep")/1000000</f>
        <v>#REF!</v>
      </c>
      <c r="Q32" s="407"/>
      <c r="AD32" s="18"/>
      <c r="AE32" s="19"/>
    </row>
    <row r="33" spans="2:37" ht="18" customHeight="1" x14ac:dyDescent="0.25">
      <c r="B33" s="25">
        <f>+CONTROL!A119</f>
        <v>0</v>
      </c>
      <c r="C33" s="31" t="e">
        <f>+GETPIVOTDATA("Cuenta de Ítem",CONTROL!$A$106,"Gerencia","GUENAA","mes","oct")</f>
        <v>#REF!</v>
      </c>
      <c r="D33" s="478" t="e">
        <f>+GETPIVOTDATA("Suma de Valor     Presupuestado ",CONTROL!$A$106,"Gerencia","GUENAA","mes","oct")/1000000</f>
        <v>#REF!</v>
      </c>
      <c r="E33" s="478"/>
      <c r="F33" s="31" t="e">
        <f>+GETPIVOTDATA("Cuenta de Ítem",CONTROL!$A$106,"Gerencia","GUENE","mes","oct")</f>
        <v>#REF!</v>
      </c>
      <c r="G33" s="478" t="e">
        <f>+GETPIVOTDATA("Suma de Valor     Presupuestado ",CONTROL!$A$106,"Gerencia","GUENE","mes","oct")/1000000</f>
        <v>#REF!</v>
      </c>
      <c r="H33" s="478"/>
      <c r="I33" s="31" t="e">
        <f>+GETPIVOTDATA("Cuenta de Ítem",CONTROL!$A$106,"Gerencia","GUENT","mes","oct")</f>
        <v>#REF!</v>
      </c>
      <c r="J33" s="478" t="e">
        <f>+GETPIVOTDATA("Suma de Valor     Presupuestado ",CONTROL!$A$106,"Gerencia","GUENT","mes","oct")/1000000</f>
        <v>#REF!</v>
      </c>
      <c r="K33" s="478"/>
      <c r="L33" s="32" t="e">
        <f t="shared" ref="L33:L34" si="52">+O33-C33-F33-I33</f>
        <v>#REF!</v>
      </c>
      <c r="M33" s="478" t="e">
        <f t="shared" ref="M33:M34" si="53">+P33-D33-G33-J33</f>
        <v>#REF!</v>
      </c>
      <c r="N33" s="478"/>
      <c r="O33" s="32" t="e">
        <f>+GETPIVOTDATA("Cuenta de Ítem",CONTROL!$A$106,"mes","oct")</f>
        <v>#REF!</v>
      </c>
      <c r="P33" s="446" t="e">
        <f>+GETPIVOTDATA("Suma de Valor     Presupuestado ",CONTROL!$A$106,"mes","oct")/1000000</f>
        <v>#REF!</v>
      </c>
      <c r="Q33" s="447"/>
      <c r="AD33" s="18"/>
      <c r="AE33" s="19"/>
    </row>
    <row r="34" spans="2:37" ht="18" customHeight="1" x14ac:dyDescent="0.25">
      <c r="B34" s="26">
        <f>+CONTROL!A120</f>
        <v>0</v>
      </c>
      <c r="C34" s="26" t="e">
        <f>+GETPIVOTDATA("Cuenta de Ítem",CONTROL!$A$106,"Gerencia","GUENAA","mes","NOV")</f>
        <v>#REF!</v>
      </c>
      <c r="D34" s="405" t="e">
        <f>+GETPIVOTDATA("Suma de Valor     Presupuestado ",CONTROL!$A$106,"Gerencia","GUENAA","mes","NOV")/1000000</f>
        <v>#REF!</v>
      </c>
      <c r="E34" s="405"/>
      <c r="F34" s="26" t="e">
        <f>+GETPIVOTDATA("Cuenta de Ítem",CONTROL!$A$106,"Gerencia","GUENE","mes","NOV")</f>
        <v>#REF!</v>
      </c>
      <c r="G34" s="405" t="e">
        <f>+GETPIVOTDATA("Suma de Valor     Presupuestado ",CONTROL!$A$106,"Gerencia","GUENE","mes","NOV")/1000000</f>
        <v>#REF!</v>
      </c>
      <c r="H34" s="405"/>
      <c r="I34" s="26" t="e">
        <f>+GETPIVOTDATA("Cuenta de Ítem",CONTROL!$A$106,"Gerencia","GUENT","mes","NOV")</f>
        <v>#REF!</v>
      </c>
      <c r="J34" s="405" t="e">
        <f>+GETPIVOTDATA("Suma de Valor     Presupuestado ",CONTROL!$A$106,"Gerencia","GUENT","mes","NOV")/1000000</f>
        <v>#REF!</v>
      </c>
      <c r="K34" s="405"/>
      <c r="L34" s="23" t="e">
        <f t="shared" si="52"/>
        <v>#REF!</v>
      </c>
      <c r="M34" s="405" t="e">
        <f t="shared" si="53"/>
        <v>#REF!</v>
      </c>
      <c r="N34" s="405"/>
      <c r="O34" s="23" t="e">
        <f>+GETPIVOTDATA("Cuenta de Ítem",CONTROL!$A$106,"mes","NOV")</f>
        <v>#REF!</v>
      </c>
      <c r="P34" s="406" t="e">
        <f>+GETPIVOTDATA("Suma de Valor     Presupuestado ",CONTROL!$A$106,"mes","NOV")/1000000</f>
        <v>#REF!</v>
      </c>
      <c r="Q34" s="407"/>
      <c r="AD34" s="18"/>
      <c r="AE34" s="19"/>
    </row>
    <row r="35" spans="2:37" ht="18" customHeight="1" x14ac:dyDescent="0.25">
      <c r="B35" s="34" t="s">
        <v>49</v>
      </c>
      <c r="C35" s="35" t="e">
        <f>SUM(C23:C34)</f>
        <v>#REF!</v>
      </c>
      <c r="D35" s="448" t="e">
        <f>SUM(D23:E34)</f>
        <v>#REF!</v>
      </c>
      <c r="E35" s="448"/>
      <c r="F35" s="35" t="e">
        <f>SUM(F23:F34)</f>
        <v>#REF!</v>
      </c>
      <c r="G35" s="448" t="e">
        <f>SUM(G23:H34)</f>
        <v>#REF!</v>
      </c>
      <c r="H35" s="448"/>
      <c r="I35" s="35" t="e">
        <f>SUM(I23:I34)</f>
        <v>#REF!</v>
      </c>
      <c r="J35" s="448" t="e">
        <f>SUM(J23:K34)</f>
        <v>#REF!</v>
      </c>
      <c r="K35" s="448"/>
      <c r="L35" s="35" t="e">
        <f>SUM(L23:L34)</f>
        <v>#REF!</v>
      </c>
      <c r="M35" s="448" t="e">
        <f>SUM(M23:N34)</f>
        <v>#REF!</v>
      </c>
      <c r="N35" s="448"/>
      <c r="O35" s="35" t="e">
        <f>SUM(O23:O34)</f>
        <v>#REF!</v>
      </c>
      <c r="P35" s="448" t="e">
        <f>SUM(P23:Q34)</f>
        <v>#REF!</v>
      </c>
      <c r="Q35" s="448"/>
    </row>
    <row r="36" spans="2:37" ht="18" customHeight="1" x14ac:dyDescent="0.25">
      <c r="B36" s="477"/>
      <c r="C36" s="477"/>
      <c r="D36" s="477"/>
      <c r="E36" s="477"/>
      <c r="F36" s="477"/>
      <c r="G36" s="477"/>
      <c r="H36" s="477"/>
      <c r="I36" s="477"/>
      <c r="J36" s="477"/>
      <c r="K36" s="477"/>
      <c r="L36" s="477"/>
      <c r="M36" s="477"/>
      <c r="N36" s="477"/>
      <c r="O36" s="477"/>
      <c r="P36" s="477"/>
      <c r="Q36" s="477"/>
    </row>
    <row r="37" spans="2:37" ht="30" customHeight="1" x14ac:dyDescent="0.25">
      <c r="B37" s="449" t="s">
        <v>95</v>
      </c>
      <c r="C37" s="494"/>
      <c r="D37" s="494"/>
      <c r="E37" s="494"/>
      <c r="F37" s="494"/>
      <c r="G37" s="494"/>
      <c r="H37" s="494"/>
      <c r="I37" s="494"/>
      <c r="J37" s="494"/>
      <c r="K37" s="494"/>
      <c r="L37" s="494"/>
      <c r="M37" s="494"/>
      <c r="N37" s="494"/>
      <c r="O37" s="494"/>
      <c r="P37" s="494"/>
      <c r="Q37" s="494"/>
      <c r="R37" s="494"/>
      <c r="S37" s="494"/>
      <c r="T37" s="494"/>
      <c r="AD37" s="17" t="str">
        <f>+C38</f>
        <v>Recibidos</v>
      </c>
      <c r="AE37" s="18" t="e">
        <f>+D52</f>
        <v>#REF!</v>
      </c>
      <c r="AF37" s="19" t="e">
        <f>SUM(AF38:AF42)</f>
        <v>#REF!</v>
      </c>
      <c r="AI37" s="53">
        <f t="shared" ref="AI37:AI40" si="54">+B40</f>
        <v>2021</v>
      </c>
      <c r="AJ37" s="27">
        <f t="shared" ref="AJ37:AJ40" si="55">+F40</f>
        <v>0</v>
      </c>
      <c r="AK37" s="18">
        <f t="shared" ref="AK37:AK40" si="56">+G40</f>
        <v>0</v>
      </c>
    </row>
    <row r="38" spans="2:37" ht="18" customHeight="1" x14ac:dyDescent="0.25">
      <c r="B38" s="465" t="s">
        <v>56</v>
      </c>
      <c r="C38" s="467" t="s">
        <v>51</v>
      </c>
      <c r="D38" s="467"/>
      <c r="E38" s="467"/>
      <c r="F38" s="464" t="s">
        <v>52</v>
      </c>
      <c r="G38" s="464"/>
      <c r="H38" s="464"/>
      <c r="I38" s="464" t="s">
        <v>55</v>
      </c>
      <c r="J38" s="464"/>
      <c r="K38" s="464"/>
      <c r="L38" s="464" t="s">
        <v>81</v>
      </c>
      <c r="M38" s="464"/>
      <c r="N38" s="464"/>
      <c r="O38" s="464" t="s">
        <v>54</v>
      </c>
      <c r="P38" s="464"/>
      <c r="Q38" s="464"/>
      <c r="R38" s="464" t="s">
        <v>53</v>
      </c>
      <c r="S38" s="464"/>
      <c r="T38" s="464"/>
      <c r="AD38" s="17" t="str">
        <f>+F38</f>
        <v>Contratados</v>
      </c>
      <c r="AE38" s="18" t="e">
        <f>+G52</f>
        <v>#REF!</v>
      </c>
      <c r="AF38" s="19" t="e">
        <f>+AE38/AE$37</f>
        <v>#REF!</v>
      </c>
      <c r="AI38" s="53" t="str">
        <f t="shared" si="54"/>
        <v>Jan</v>
      </c>
      <c r="AJ38" s="27" t="e">
        <f t="shared" si="55"/>
        <v>#REF!</v>
      </c>
      <c r="AK38" s="18" t="e">
        <f t="shared" si="56"/>
        <v>#REF!</v>
      </c>
    </row>
    <row r="39" spans="2:37" ht="19.899999999999999" customHeight="1" x14ac:dyDescent="0.25">
      <c r="B39" s="466"/>
      <c r="C39" s="102" t="s">
        <v>50</v>
      </c>
      <c r="D39" s="445" t="s">
        <v>91</v>
      </c>
      <c r="E39" s="445"/>
      <c r="F39" s="65" t="s">
        <v>50</v>
      </c>
      <c r="G39" s="409" t="s">
        <v>91</v>
      </c>
      <c r="H39" s="409"/>
      <c r="I39" s="65" t="s">
        <v>50</v>
      </c>
      <c r="J39" s="409" t="s">
        <v>91</v>
      </c>
      <c r="K39" s="409"/>
      <c r="L39" s="65" t="s">
        <v>50</v>
      </c>
      <c r="M39" s="409" t="s">
        <v>91</v>
      </c>
      <c r="N39" s="409"/>
      <c r="O39" s="65" t="s">
        <v>50</v>
      </c>
      <c r="P39" s="409" t="s">
        <v>91</v>
      </c>
      <c r="Q39" s="409"/>
      <c r="R39" s="65" t="s">
        <v>50</v>
      </c>
      <c r="S39" s="409" t="s">
        <v>91</v>
      </c>
      <c r="T39" s="409"/>
      <c r="AD39" s="17" t="str">
        <f>+L38</f>
        <v>Suspendidos</v>
      </c>
      <c r="AE39" s="18">
        <f>+M52</f>
        <v>0</v>
      </c>
      <c r="AF39" s="19" t="e">
        <f>+AE39/AE$37</f>
        <v>#REF!</v>
      </c>
      <c r="AI39" s="53" t="str">
        <f t="shared" si="54"/>
        <v>Feb</v>
      </c>
      <c r="AJ39" s="27">
        <f t="shared" si="55"/>
        <v>11</v>
      </c>
      <c r="AK39" s="18">
        <f t="shared" si="56"/>
        <v>3824.988891</v>
      </c>
    </row>
    <row r="40" spans="2:37" ht="18" customHeight="1" x14ac:dyDescent="0.25">
      <c r="B40" s="20">
        <f t="shared" ref="B40:B51" si="57">+B5</f>
        <v>2021</v>
      </c>
      <c r="C40" s="21">
        <f t="shared" ref="C40:D45" si="58">+O5</f>
        <v>15</v>
      </c>
      <c r="D40" s="451">
        <f t="shared" si="58"/>
        <v>435012.21651199996</v>
      </c>
      <c r="E40" s="451"/>
      <c r="F40" s="32">
        <v>0</v>
      </c>
      <c r="G40" s="497">
        <v>0</v>
      </c>
      <c r="H40" s="497"/>
      <c r="I40" s="21">
        <v>0</v>
      </c>
      <c r="J40" s="451">
        <v>0</v>
      </c>
      <c r="K40" s="451"/>
      <c r="L40" s="21">
        <v>0</v>
      </c>
      <c r="M40" s="451">
        <v>0</v>
      </c>
      <c r="N40" s="451"/>
      <c r="O40" s="21">
        <f>+GETPIVOTDATA("Cuenta de Ítem",CONTROL!$A$66,"mes",2021)</f>
        <v>5</v>
      </c>
      <c r="P40" s="451">
        <f>+GETPIVOTDATA("Suma de Valor     Presupuestado ",CONTROL!$A$66,"mes",2021)/1000000</f>
        <v>93543.674520999994</v>
      </c>
      <c r="Q40" s="451"/>
      <c r="R40" s="21">
        <f>+GETPIVOTDATA("Cuenta de Ítem",CONTROL!$A$45,"mes",2021)</f>
        <v>4</v>
      </c>
      <c r="S40" s="451">
        <f>+GETPIVOTDATA("Suma de Valor     Presupuestado ",CONTROL!$A$45,"mes",2021)/1000000</f>
        <v>9007.7430390000009</v>
      </c>
      <c r="T40" s="451"/>
      <c r="AD40" s="17" t="str">
        <f>+I38</f>
        <v>En Trámite</v>
      </c>
      <c r="AE40" s="18" t="e">
        <f>+J52</f>
        <v>#REF!</v>
      </c>
      <c r="AF40" s="19" t="e">
        <f>+AE40/AE$37</f>
        <v>#REF!</v>
      </c>
      <c r="AI40" s="53" t="str">
        <f t="shared" si="54"/>
        <v>Mar</v>
      </c>
      <c r="AJ40" s="27">
        <f t="shared" si="55"/>
        <v>3</v>
      </c>
      <c r="AK40" s="18">
        <f t="shared" si="56"/>
        <v>3225.1510363999996</v>
      </c>
    </row>
    <row r="41" spans="2:37" ht="18" customHeight="1" x14ac:dyDescent="0.25">
      <c r="B41" s="22" t="str">
        <f t="shared" si="57"/>
        <v>Jan</v>
      </c>
      <c r="C41" s="23" t="e">
        <f t="shared" si="58"/>
        <v>#REF!</v>
      </c>
      <c r="D41" s="408" t="e">
        <f t="shared" si="58"/>
        <v>#REF!</v>
      </c>
      <c r="E41" s="408"/>
      <c r="F41" s="23" t="e">
        <f>+GETPIVOTDATA("Cuenta de Ítem",CONTROL!$A$25,"Mes fin","ene")</f>
        <v>#REF!</v>
      </c>
      <c r="G41" s="408" t="e">
        <f>+GETPIVOTDATA("Suma de Valor ",CONTROL!$A$25,"Mes fin","ene")/1000000</f>
        <v>#REF!</v>
      </c>
      <c r="H41" s="408"/>
      <c r="I41" s="23">
        <v>0</v>
      </c>
      <c r="J41" s="401">
        <v>0</v>
      </c>
      <c r="K41" s="401"/>
      <c r="L41" s="23">
        <v>0</v>
      </c>
      <c r="M41" s="401">
        <v>0</v>
      </c>
      <c r="N41" s="401"/>
      <c r="O41" s="23" t="e">
        <f>+GETPIVOTDATA("Cuenta de Ítem",CONTROL!$A$66,"mes","ene")</f>
        <v>#REF!</v>
      </c>
      <c r="P41" s="401" t="e">
        <f>+GETPIVOTDATA("Suma de Valor     Presupuestado ",CONTROL!$A$66,"mes","ene")/1000000</f>
        <v>#REF!</v>
      </c>
      <c r="Q41" s="401"/>
      <c r="R41" s="23" t="e">
        <f>+GETPIVOTDATA("Cuenta de Ítem",CONTROL!$A$45,"mes","ene")</f>
        <v>#REF!</v>
      </c>
      <c r="S41" s="401" t="e">
        <f>+GETPIVOTDATA("Suma de Valor     Presupuestado ",CONTROL!$A$45,"mes","ene")/1000000</f>
        <v>#REF!</v>
      </c>
      <c r="T41" s="401"/>
      <c r="AD41" s="17" t="str">
        <f>+O38</f>
        <v>Devueltos</v>
      </c>
      <c r="AE41" s="18" t="e">
        <f>+P52</f>
        <v>#REF!</v>
      </c>
      <c r="AF41" s="19" t="e">
        <f>+AE41/AE$37</f>
        <v>#REF!</v>
      </c>
      <c r="AI41" s="53" t="str">
        <f t="shared" ref="AI41" si="59">+B44</f>
        <v>Apr</v>
      </c>
      <c r="AJ41" s="27" t="e">
        <f t="shared" ref="AJ41" si="60">+F44</f>
        <v>#REF!</v>
      </c>
      <c r="AK41" s="18" t="e">
        <f t="shared" ref="AK41" si="61">+G44</f>
        <v>#REF!</v>
      </c>
    </row>
    <row r="42" spans="2:37" ht="18" customHeight="1" x14ac:dyDescent="0.25">
      <c r="B42" s="62" t="str">
        <f t="shared" si="57"/>
        <v>Feb</v>
      </c>
      <c r="C42" s="21">
        <f t="shared" si="58"/>
        <v>25</v>
      </c>
      <c r="D42" s="451">
        <f t="shared" si="58"/>
        <v>11472.992141999999</v>
      </c>
      <c r="E42" s="451"/>
      <c r="F42" s="32">
        <f>+GETPIVOTDATA("Cuenta de Ítem",CONTROL!$A$25,"Mes fin","feb")</f>
        <v>11</v>
      </c>
      <c r="G42" s="458">
        <f>+GETPIVOTDATA("Suma de Valor ",CONTROL!$A$25,"Mes fin","feb")/1000000</f>
        <v>3824.988891</v>
      </c>
      <c r="H42" s="458"/>
      <c r="I42" s="32">
        <v>0</v>
      </c>
      <c r="J42" s="438">
        <v>0</v>
      </c>
      <c r="K42" s="438"/>
      <c r="L42" s="32">
        <v>0</v>
      </c>
      <c r="M42" s="438">
        <v>0</v>
      </c>
      <c r="N42" s="438"/>
      <c r="O42" s="32">
        <f>+GETPIVOTDATA("Cuenta de Ítem",CONTROL!$A$66,"mes","feb")</f>
        <v>1</v>
      </c>
      <c r="P42" s="438">
        <f>+GETPIVOTDATA("Suma de Valor     Presupuestado ",CONTROL!$A$66,"mes","feb")/1000000</f>
        <v>9.0903720000000003</v>
      </c>
      <c r="Q42" s="438"/>
      <c r="R42" s="21">
        <f>+GETPIVOTDATA("Cuenta de Ítem",CONTROL!$A$45,"mes","feb")</f>
        <v>12</v>
      </c>
      <c r="S42" s="451">
        <f>+GETPIVOTDATA("Suma de Valor     Presupuestado ",CONTROL!$A$45,"mes","feb")/1000000</f>
        <v>5844.6438889999999</v>
      </c>
      <c r="T42" s="451"/>
      <c r="AD42" s="17" t="str">
        <f>+R38</f>
        <v>Cerrados</v>
      </c>
      <c r="AE42" s="18" t="e">
        <f>+S52</f>
        <v>#REF!</v>
      </c>
      <c r="AF42" s="19" t="e">
        <f>+AE42/AE$37</f>
        <v>#REF!</v>
      </c>
      <c r="AI42" s="53" t="str">
        <f t="shared" ref="AI42" si="62">+B45</f>
        <v>May</v>
      </c>
      <c r="AJ42" s="27">
        <f t="shared" ref="AJ42" si="63">+F45</f>
        <v>18</v>
      </c>
      <c r="AK42" s="18">
        <f t="shared" ref="AK42" si="64">+G45</f>
        <v>17271.274372</v>
      </c>
    </row>
    <row r="43" spans="2:37" ht="18" customHeight="1" x14ac:dyDescent="0.25">
      <c r="B43" s="22" t="str">
        <f t="shared" si="57"/>
        <v>Mar</v>
      </c>
      <c r="C43" s="23">
        <f t="shared" si="58"/>
        <v>61</v>
      </c>
      <c r="D43" s="408">
        <f t="shared" si="58"/>
        <v>41428.170500126318</v>
      </c>
      <c r="E43" s="408"/>
      <c r="F43" s="23">
        <f>+GETPIVOTDATA("Cuenta de Ítem",CONTROL!$A$25,"Mes fin","MAR")</f>
        <v>3</v>
      </c>
      <c r="G43" s="408">
        <f>+GETPIVOTDATA("Suma de Valor ",CONTROL!$A$25,"Mes fin","MAR")/1000000</f>
        <v>3225.1510363999996</v>
      </c>
      <c r="H43" s="408"/>
      <c r="I43" s="23">
        <v>0</v>
      </c>
      <c r="J43" s="401">
        <v>0</v>
      </c>
      <c r="K43" s="401"/>
      <c r="L43" s="23">
        <v>0</v>
      </c>
      <c r="M43" s="401">
        <v>0</v>
      </c>
      <c r="N43" s="401"/>
      <c r="O43" s="23">
        <f>+GETPIVOTDATA("Cuenta de Ítem",CONTROL!$A$66,"mes","mar")</f>
        <v>9</v>
      </c>
      <c r="P43" s="401">
        <f>+GETPIVOTDATA("Suma de Valor     Presupuestado ",CONTROL!$A$66,"mes","mar")/1000000</f>
        <v>1907.9997060000001</v>
      </c>
      <c r="Q43" s="401"/>
      <c r="R43" s="23">
        <f>+GETPIVOTDATA("Cuenta de Ítem",CONTROL!$A$45,"mes","mar")</f>
        <v>15</v>
      </c>
      <c r="S43" s="401">
        <f>+GETPIVOTDATA("Suma de Valor     Presupuestado ",CONTROL!$A$45,"mes","mar")/1000000</f>
        <v>3308.511798</v>
      </c>
      <c r="T43" s="401"/>
      <c r="AE43" s="18"/>
      <c r="AF43" s="19"/>
      <c r="AI43" s="53" t="str">
        <f t="shared" ref="AI43" si="65">+B46</f>
        <v>Jun</v>
      </c>
      <c r="AJ43" s="27">
        <f t="shared" ref="AJ43" si="66">+F46</f>
        <v>15</v>
      </c>
      <c r="AK43" s="18">
        <f t="shared" ref="AK43" si="67">+G46</f>
        <v>10956.543346</v>
      </c>
    </row>
    <row r="44" spans="2:37" ht="18" customHeight="1" x14ac:dyDescent="0.25">
      <c r="B44" s="62" t="str">
        <f t="shared" si="57"/>
        <v>Apr</v>
      </c>
      <c r="C44" s="21" t="e">
        <f t="shared" si="58"/>
        <v>#REF!</v>
      </c>
      <c r="D44" s="451" t="e">
        <f t="shared" si="58"/>
        <v>#REF!</v>
      </c>
      <c r="E44" s="451"/>
      <c r="F44" s="32" t="e">
        <f>+GETPIVOTDATA("Cuenta de Ítem",CONTROL!$A$25,"Mes fin","ABR")</f>
        <v>#REF!</v>
      </c>
      <c r="G44" s="458" t="e">
        <f>+GETPIVOTDATA("Suma de Valor ",CONTROL!$A$25,"Mes fin","ABR")/1000000</f>
        <v>#REF!</v>
      </c>
      <c r="H44" s="458"/>
      <c r="I44" s="32" t="e">
        <f>+GETPIVOTDATA("Cuenta de Ítem",CONTROL!$A$87,"mes","ABR")</f>
        <v>#REF!</v>
      </c>
      <c r="J44" s="438" t="e">
        <f>+GETPIVOTDATA("Suma de Valor     Presupuestado ",CONTROL!$A$87,"mes","ABR")/1000000</f>
        <v>#REF!</v>
      </c>
      <c r="K44" s="438"/>
      <c r="L44" s="32">
        <v>0</v>
      </c>
      <c r="M44" s="438">
        <v>0</v>
      </c>
      <c r="N44" s="438"/>
      <c r="O44" s="32" t="e">
        <f>+GETPIVOTDATA("Cuenta de Ítem",CONTROL!$A$66,"mes","ABR")</f>
        <v>#REF!</v>
      </c>
      <c r="P44" s="438" t="e">
        <f>+GETPIVOTDATA("Suma de Valor     Presupuestado ",CONTROL!$A$66,"mes","ABR")/1000000</f>
        <v>#REF!</v>
      </c>
      <c r="Q44" s="438"/>
      <c r="R44" s="21" t="e">
        <f>+GETPIVOTDATA("Cuenta de Ítem",CONTROL!$A$45,"mes","ABR")</f>
        <v>#REF!</v>
      </c>
      <c r="S44" s="451" t="e">
        <f>+GETPIVOTDATA("Suma de Valor     Presupuestado ",CONTROL!$A$45,"mes","ABR")/1000000</f>
        <v>#REF!</v>
      </c>
      <c r="T44" s="451"/>
      <c r="AE44" s="18"/>
      <c r="AF44" s="19"/>
      <c r="AI44" s="53" t="str">
        <f t="shared" ref="AI44" si="68">+B47</f>
        <v>Jul</v>
      </c>
      <c r="AJ44" s="27">
        <f t="shared" ref="AJ44" si="69">+F47</f>
        <v>35</v>
      </c>
      <c r="AK44" s="18">
        <f t="shared" ref="AK44" si="70">+G47</f>
        <v>25499.952282999999</v>
      </c>
    </row>
    <row r="45" spans="2:37" ht="18" customHeight="1" x14ac:dyDescent="0.25">
      <c r="B45" s="22" t="str">
        <f t="shared" si="57"/>
        <v>May</v>
      </c>
      <c r="C45" s="23">
        <f t="shared" si="58"/>
        <v>34</v>
      </c>
      <c r="D45" s="408">
        <f t="shared" si="58"/>
        <v>54904.752830999998</v>
      </c>
      <c r="E45" s="408"/>
      <c r="F45" s="23">
        <f>+GETPIVOTDATA("Cuenta de Ítem",CONTROL!$A$25,"Mes fin","MAY")</f>
        <v>18</v>
      </c>
      <c r="G45" s="408">
        <f>+GETPIVOTDATA("Suma de Valor ",CONTROL!$A$25,"Mes fin","MAY")/1000000</f>
        <v>17271.274372</v>
      </c>
      <c r="H45" s="408"/>
      <c r="I45" s="23">
        <v>0</v>
      </c>
      <c r="J45" s="401">
        <v>0</v>
      </c>
      <c r="K45" s="401"/>
      <c r="L45" s="23">
        <v>0</v>
      </c>
      <c r="M45" s="401">
        <v>0</v>
      </c>
      <c r="N45" s="401"/>
      <c r="O45" s="23">
        <f>+GETPIVOTDATA("Cuenta de Ítem",CONTROL!$A$66,"mes","maY")</f>
        <v>4</v>
      </c>
      <c r="P45" s="401">
        <f>+GETPIVOTDATA("Suma de Valor     Presupuestado ",CONTROL!$A$66,"mes","maY")/1000000</f>
        <v>16025.61433</v>
      </c>
      <c r="Q45" s="401"/>
      <c r="R45" s="23">
        <f>+GETPIVOTDATA("Cuenta de Ítem",CONTROL!$A$45,"mes","maY")</f>
        <v>11</v>
      </c>
      <c r="S45" s="401">
        <f>+GETPIVOTDATA("Suma de Valor     Presupuestado ",CONTROL!$A$45,"mes","maY")/1000000</f>
        <v>11513.160849</v>
      </c>
      <c r="T45" s="401"/>
      <c r="AE45" s="18"/>
      <c r="AF45" s="19"/>
      <c r="AI45" s="53" t="str">
        <f t="shared" ref="AI45" si="71">+B48</f>
        <v>Aug</v>
      </c>
      <c r="AJ45" s="27" t="e">
        <f t="shared" ref="AJ45" si="72">+F48</f>
        <v>#REF!</v>
      </c>
      <c r="AK45" s="18" t="e">
        <f t="shared" ref="AK45" si="73">+G48</f>
        <v>#REF!</v>
      </c>
    </row>
    <row r="46" spans="2:37" ht="18" customHeight="1" x14ac:dyDescent="0.25">
      <c r="B46" s="62" t="str">
        <f t="shared" si="57"/>
        <v>Jun</v>
      </c>
      <c r="C46" s="21">
        <f t="shared" ref="C46:D46" si="74">+O11</f>
        <v>54</v>
      </c>
      <c r="D46" s="451">
        <f t="shared" si="74"/>
        <v>17013.960250000004</v>
      </c>
      <c r="E46" s="451"/>
      <c r="F46" s="32">
        <f>+GETPIVOTDATA("Cuenta de Ítem",CONTROL!$A$25,"Mes fin","JUN")</f>
        <v>15</v>
      </c>
      <c r="G46" s="458">
        <f>+GETPIVOTDATA("Suma de Valor ",CONTROL!$A$25,"Mes fin","JUN")/1000000</f>
        <v>10956.543346</v>
      </c>
      <c r="H46" s="458"/>
      <c r="I46" s="32" t="e">
        <f>+GETPIVOTDATA("Cuenta de Ítem",CONTROL!$A$87,"mes","JUN")</f>
        <v>#REF!</v>
      </c>
      <c r="J46" s="438" t="e">
        <f>+GETPIVOTDATA("Suma de Valor     Presupuestado ",CONTROL!$A$87,"mes","JUN")/1000000</f>
        <v>#REF!</v>
      </c>
      <c r="K46" s="438"/>
      <c r="L46" s="32">
        <v>0</v>
      </c>
      <c r="M46" s="438">
        <v>0</v>
      </c>
      <c r="N46" s="438"/>
      <c r="O46" s="32">
        <f>+GETPIVOTDATA("Cuenta de Ítem",CONTROL!$A$66,"mes","jun")</f>
        <v>4</v>
      </c>
      <c r="P46" s="438">
        <f>+GETPIVOTDATA("Suma de Valor     Presupuestado ",CONTROL!$A$66,"mes","jun")/1000000</f>
        <v>1507.5210709999999</v>
      </c>
      <c r="Q46" s="438"/>
      <c r="R46" s="21">
        <f>+GETPIVOTDATA("Cuenta de Ítem",CONTROL!$A$45,"mes","jun")</f>
        <v>8</v>
      </c>
      <c r="S46" s="451">
        <f>+GETPIVOTDATA("Suma de Valor     Presupuestado ",CONTROL!$A$45,"mes","jun")/1000000</f>
        <v>4236.0306870000004</v>
      </c>
      <c r="T46" s="451"/>
      <c r="AE46" s="18"/>
      <c r="AF46" s="19"/>
      <c r="AI46" s="53" t="str">
        <f t="shared" ref="AI46" si="75">+B49</f>
        <v>Sep</v>
      </c>
      <c r="AJ46" s="27">
        <f t="shared" ref="AJ46" si="76">+F49</f>
        <v>90</v>
      </c>
      <c r="AK46" s="18">
        <f t="shared" ref="AK46" si="77">+G49</f>
        <v>35338.877076999997</v>
      </c>
    </row>
    <row r="47" spans="2:37" ht="18" customHeight="1" x14ac:dyDescent="0.25">
      <c r="B47" s="22" t="str">
        <f t="shared" si="57"/>
        <v>Jul</v>
      </c>
      <c r="C47" s="23">
        <f>+O12</f>
        <v>90</v>
      </c>
      <c r="D47" s="408">
        <f>+P12</f>
        <v>80332.695019999999</v>
      </c>
      <c r="E47" s="408"/>
      <c r="F47" s="23">
        <f>+GETPIVOTDATA("Cuenta de Ítem",CONTROL!$A$25,"Mes fin","jul")</f>
        <v>35</v>
      </c>
      <c r="G47" s="408">
        <f>+GETPIVOTDATA("Suma de Valor ",CONTROL!$A$25,"Mes fin","jul")/1000000</f>
        <v>25499.952282999999</v>
      </c>
      <c r="H47" s="408"/>
      <c r="I47" s="23" t="e">
        <f>+GETPIVOTDATA("Cuenta de Ítem",CONTROL!$A$87,"mes","jul")</f>
        <v>#REF!</v>
      </c>
      <c r="J47" s="401" t="e">
        <f>+GETPIVOTDATA("Suma de Valor     Presupuestado ",CONTROL!$A$87,"mes","jul")/1000000</f>
        <v>#REF!</v>
      </c>
      <c r="K47" s="401"/>
      <c r="L47" s="23">
        <v>0</v>
      </c>
      <c r="M47" s="401">
        <v>0</v>
      </c>
      <c r="N47" s="401"/>
      <c r="O47" s="23">
        <f>+GETPIVOTDATA("Cuenta de Ítem",CONTROL!$A$66,"mes","jul")</f>
        <v>24</v>
      </c>
      <c r="P47" s="401">
        <f>+GETPIVOTDATA("Suma de Valor     Presupuestado ",CONTROL!$A$66,"mes","jul")/1000000</f>
        <v>15757.828906999999</v>
      </c>
      <c r="Q47" s="401"/>
      <c r="R47" s="23">
        <f>+GETPIVOTDATA("Cuenta de Ítem",CONTROL!$A$45,"mes","jul")</f>
        <v>6</v>
      </c>
      <c r="S47" s="401">
        <f>+GETPIVOTDATA("Suma de Valor     Presupuestado ",CONTROL!$A$45,"mes","jul")/1000000</f>
        <v>31731.162339999999</v>
      </c>
      <c r="T47" s="401"/>
      <c r="AE47" s="18"/>
      <c r="AF47" s="19"/>
      <c r="AI47" s="53" t="str">
        <f t="shared" ref="AI47" si="78">+B50</f>
        <v>Oct</v>
      </c>
      <c r="AJ47" s="27">
        <f t="shared" ref="AJ47" si="79">+F50</f>
        <v>15</v>
      </c>
      <c r="AK47" s="18">
        <f t="shared" ref="AK47" si="80">+G50</f>
        <v>2780.2662559999999</v>
      </c>
    </row>
    <row r="48" spans="2:37" ht="18" customHeight="1" x14ac:dyDescent="0.25">
      <c r="B48" s="62" t="str">
        <f t="shared" si="57"/>
        <v>Aug</v>
      </c>
      <c r="C48" s="21" t="e">
        <f t="shared" ref="C48" si="81">+O13</f>
        <v>#REF!</v>
      </c>
      <c r="D48" s="451" t="e">
        <f t="shared" ref="D48" si="82">+P13</f>
        <v>#REF!</v>
      </c>
      <c r="E48" s="451"/>
      <c r="F48" s="32" t="e">
        <f>+GETPIVOTDATA("Cuenta de Ítem",CONTROL!$A$25,"Mes fin","ago")</f>
        <v>#REF!</v>
      </c>
      <c r="G48" s="458" t="e">
        <f>+GETPIVOTDATA("Suma de Valor ",CONTROL!$A$25,"Mes fin","ago")/1000000</f>
        <v>#REF!</v>
      </c>
      <c r="H48" s="458"/>
      <c r="I48" s="32" t="e">
        <f>+GETPIVOTDATA("Cuenta de Ítem",CONTROL!$A$87,"mes","ago")</f>
        <v>#REF!</v>
      </c>
      <c r="J48" s="438" t="e">
        <f>+GETPIVOTDATA("Suma de Valor     Presupuestado ",CONTROL!$A$87,"mes","ago")/1000000</f>
        <v>#REF!</v>
      </c>
      <c r="K48" s="438"/>
      <c r="L48" s="32">
        <v>0</v>
      </c>
      <c r="M48" s="438">
        <v>0</v>
      </c>
      <c r="N48" s="438"/>
      <c r="O48" s="32" t="e">
        <f>+GETPIVOTDATA("Cuenta de Ítem",CONTROL!$A$66,"mes","ago")</f>
        <v>#REF!</v>
      </c>
      <c r="P48" s="438" t="e">
        <f>+GETPIVOTDATA("Suma de Valor     Presupuestado ",CONTROL!$A$66,"mes","ago")/1000000</f>
        <v>#REF!</v>
      </c>
      <c r="Q48" s="438"/>
      <c r="R48" s="21" t="e">
        <f>+GETPIVOTDATA("Cuenta de Ítem",CONTROL!$A$45,"mes","ago")</f>
        <v>#REF!</v>
      </c>
      <c r="S48" s="451" t="e">
        <f>+GETPIVOTDATA("Suma de Valor     Presupuestado ",CONTROL!$A$45,"mes","ago")/1000000</f>
        <v>#REF!</v>
      </c>
      <c r="T48" s="451"/>
      <c r="AE48" s="18"/>
      <c r="AF48" s="19"/>
      <c r="AI48" s="53" t="str">
        <f t="shared" ref="AI48" si="83">+B51</f>
        <v>Nov</v>
      </c>
      <c r="AJ48" s="27">
        <f t="shared" ref="AJ48" si="84">+F51</f>
        <v>8</v>
      </c>
      <c r="AK48" s="18">
        <f t="shared" ref="AK48" si="85">+G51</f>
        <v>4291.2697280000002</v>
      </c>
    </row>
    <row r="49" spans="2:37" ht="18" customHeight="1" x14ac:dyDescent="0.25">
      <c r="B49" s="22" t="str">
        <f t="shared" si="57"/>
        <v>Sep</v>
      </c>
      <c r="C49" s="23">
        <f>+O14</f>
        <v>41</v>
      </c>
      <c r="D49" s="408">
        <f>+P14</f>
        <v>53778.846770999997</v>
      </c>
      <c r="E49" s="408"/>
      <c r="F49" s="23">
        <f>+GETPIVOTDATA("Cuenta de Ítem",CONTROL!$A$25,"Mes fin","sep")</f>
        <v>90</v>
      </c>
      <c r="G49" s="408">
        <f>+GETPIVOTDATA("Suma de Valor ",CONTROL!$A$25,"Mes fin","sep")/1000000</f>
        <v>35338.877076999997</v>
      </c>
      <c r="H49" s="408"/>
      <c r="I49" s="23" t="e">
        <f>+GETPIVOTDATA("Cuenta de Ítem",CONTROL!$A$87,"mes","sep")</f>
        <v>#REF!</v>
      </c>
      <c r="J49" s="401" t="e">
        <f>+GETPIVOTDATA("Suma de Valor     Presupuestado ",CONTROL!$A$87,"mes","sep")/1000000</f>
        <v>#REF!</v>
      </c>
      <c r="K49" s="401"/>
      <c r="L49" s="23">
        <v>0</v>
      </c>
      <c r="M49" s="401">
        <v>0</v>
      </c>
      <c r="N49" s="401"/>
      <c r="O49" s="23">
        <f>+GETPIVOTDATA("Cuenta de Ítem",CONTROL!$A$66,"mes","sep")</f>
        <v>20</v>
      </c>
      <c r="P49" s="401">
        <f>+GETPIVOTDATA("Suma de Valor     Presupuestado ",CONTROL!$A$66,"mes","sep")/1000000</f>
        <v>48183.412098000001</v>
      </c>
      <c r="Q49" s="401"/>
      <c r="R49" s="23">
        <f>+GETPIVOTDATA("Cuenta de Ítem",CONTROL!$A$45,"mes","sep")</f>
        <v>8</v>
      </c>
      <c r="S49" s="401">
        <f>+GETPIVOTDATA("Suma de Valor     Presupuestado ",CONTROL!$A$45,"mes","sep")/1000000</f>
        <v>2679.3762780000002</v>
      </c>
      <c r="T49" s="401"/>
      <c r="AE49" s="18"/>
      <c r="AF49" s="19"/>
      <c r="AI49" s="53"/>
      <c r="AJ49" s="27"/>
      <c r="AK49" s="18"/>
    </row>
    <row r="50" spans="2:37" ht="18" customHeight="1" x14ac:dyDescent="0.25">
      <c r="B50" s="62" t="str">
        <f t="shared" si="57"/>
        <v>Oct</v>
      </c>
      <c r="C50" s="21">
        <f t="shared" ref="C50" si="86">+O15</f>
        <v>4</v>
      </c>
      <c r="D50" s="451">
        <f t="shared" ref="D50" si="87">+P15</f>
        <v>1365.7419399999999</v>
      </c>
      <c r="E50" s="451"/>
      <c r="F50" s="32">
        <f>+GETPIVOTDATA("Cuenta de Ítem",CONTROL!$A$25,"Mes fin","oct")</f>
        <v>15</v>
      </c>
      <c r="G50" s="458">
        <f>+GETPIVOTDATA("Suma de Valor ",CONTROL!$A$25,"Mes fin","oct")/1000000</f>
        <v>2780.2662559999999</v>
      </c>
      <c r="H50" s="458"/>
      <c r="I50" s="32" t="e">
        <f>+GETPIVOTDATA("Cuenta de Ítem",CONTROL!$A$87,"mes","oct")</f>
        <v>#REF!</v>
      </c>
      <c r="J50" s="438" t="e">
        <f>+GETPIVOTDATA("Suma de Valor     Presupuestado ",CONTROL!$A$87,"mes","oct")/1000000</f>
        <v>#REF!</v>
      </c>
      <c r="K50" s="438"/>
      <c r="L50" s="32">
        <v>0</v>
      </c>
      <c r="M50" s="438">
        <v>0</v>
      </c>
      <c r="N50" s="438"/>
      <c r="O50" s="32">
        <f>+GETPIVOTDATA("Cuenta de Ítem",CONTROL!$A$66,"mes","OCT")</f>
        <v>3</v>
      </c>
      <c r="P50" s="438">
        <f>+GETPIVOTDATA("Suma de Valor     Presupuestado ",CONTROL!$A$66,"mes","OCT")/1000000</f>
        <v>1295.7616700000001</v>
      </c>
      <c r="Q50" s="438"/>
      <c r="R50" s="21">
        <v>0</v>
      </c>
      <c r="S50" s="451">
        <v>0</v>
      </c>
      <c r="T50" s="451"/>
      <c r="AE50" s="18"/>
      <c r="AF50" s="19"/>
      <c r="AI50" s="53"/>
      <c r="AJ50" s="27"/>
      <c r="AK50" s="18"/>
    </row>
    <row r="51" spans="2:37" ht="18" customHeight="1" x14ac:dyDescent="0.25">
      <c r="B51" s="22" t="str">
        <f t="shared" si="57"/>
        <v>Nov</v>
      </c>
      <c r="C51" s="23">
        <f>+O16</f>
        <v>28</v>
      </c>
      <c r="D51" s="408">
        <f>+P16</f>
        <v>28107.796956999999</v>
      </c>
      <c r="E51" s="408"/>
      <c r="F51" s="23">
        <f>+GETPIVOTDATA("Cuenta de Ítem",CONTROL!$A$25,"Mes fin","NOV")</f>
        <v>8</v>
      </c>
      <c r="G51" s="408">
        <f>+GETPIVOTDATA("Suma de Valor ",CONTROL!$A$25,"Mes fin","NOV")/1000000</f>
        <v>4291.2697280000002</v>
      </c>
      <c r="H51" s="408"/>
      <c r="I51" s="23" t="e">
        <f>+GETPIVOTDATA("Cuenta de Ítem",CONTROL!$A$87,"mes","NOV")</f>
        <v>#REF!</v>
      </c>
      <c r="J51" s="401" t="e">
        <f>+GETPIVOTDATA("Suma de Valor     Presupuestado ",CONTROL!$A$87,"mes","NOV")/1000000</f>
        <v>#REF!</v>
      </c>
      <c r="K51" s="401"/>
      <c r="L51" s="23">
        <v>0</v>
      </c>
      <c r="M51" s="401">
        <v>0</v>
      </c>
      <c r="N51" s="401"/>
      <c r="O51" s="23">
        <f>+GETPIVOTDATA("Cuenta de Ítem",CONTROL!$A$66,"mes","NOV")</f>
        <v>18</v>
      </c>
      <c r="P51" s="401">
        <f>+GETPIVOTDATA("Suma de Valor     Presupuestado ",CONTROL!$A$66,"mes","NOV")/1000000</f>
        <v>28752.139546999999</v>
      </c>
      <c r="Q51" s="401"/>
      <c r="R51" s="23">
        <f>+GETPIVOTDATA("Cuenta de Ítem",CONTROL!$A$45,"mes","NOV")</f>
        <v>15</v>
      </c>
      <c r="S51" s="401">
        <f>+GETPIVOTDATA("Suma de Valor     Presupuestado ",CONTROL!$A$45,"mes","NOV")/1000000</f>
        <v>7167.4528490000002</v>
      </c>
      <c r="T51" s="401"/>
      <c r="AE51" s="18"/>
      <c r="AF51" s="19"/>
      <c r="AI51" s="53"/>
      <c r="AJ51" s="27"/>
      <c r="AK51" s="18"/>
    </row>
    <row r="52" spans="2:37" ht="18" customHeight="1" x14ac:dyDescent="0.25">
      <c r="B52" s="37" t="s">
        <v>49</v>
      </c>
      <c r="C52" s="35" t="e">
        <f>SUM(C40:C51)</f>
        <v>#REF!</v>
      </c>
      <c r="D52" s="448" t="e">
        <f>SUM(D40:E51)</f>
        <v>#REF!</v>
      </c>
      <c r="E52" s="448"/>
      <c r="F52" s="35" t="e">
        <f>SUM(F40:F51)</f>
        <v>#REF!</v>
      </c>
      <c r="G52" s="448" t="e">
        <f>SUM(G40:H51)</f>
        <v>#REF!</v>
      </c>
      <c r="H52" s="448"/>
      <c r="I52" s="35" t="e">
        <f>SUM(I40:I51)</f>
        <v>#REF!</v>
      </c>
      <c r="J52" s="448" t="e">
        <f>SUM(J40:K51)</f>
        <v>#REF!</v>
      </c>
      <c r="K52" s="448"/>
      <c r="L52" s="35">
        <f>SUM(L40:L51)</f>
        <v>0</v>
      </c>
      <c r="M52" s="448">
        <f>SUM(M40:N51)</f>
        <v>0</v>
      </c>
      <c r="N52" s="448"/>
      <c r="O52" s="35" t="e">
        <f>SUM(O40:O51)</f>
        <v>#REF!</v>
      </c>
      <c r="P52" s="448" t="e">
        <f>SUM(P40:Q51)</f>
        <v>#REF!</v>
      </c>
      <c r="Q52" s="448"/>
      <c r="R52" s="35" t="e">
        <f>SUM(R40:R51)</f>
        <v>#REF!</v>
      </c>
      <c r="S52" s="448" t="e">
        <f>SUM(S40:T51)</f>
        <v>#REF!</v>
      </c>
      <c r="T52" s="448"/>
      <c r="AD52" s="17" t="e">
        <f>SUM(#REF!)</f>
        <v>#REF!</v>
      </c>
      <c r="AE52" s="24" t="e">
        <f>+AD52/AD$52</f>
        <v>#REF!</v>
      </c>
    </row>
    <row r="53" spans="2:37" ht="18" customHeight="1" x14ac:dyDescent="0.25">
      <c r="B53" s="509" t="s">
        <v>3910</v>
      </c>
      <c r="C53" s="507" t="s">
        <v>4234</v>
      </c>
      <c r="D53" s="507"/>
      <c r="E53" s="507"/>
      <c r="F53" s="507"/>
      <c r="G53" s="507"/>
      <c r="H53" s="507"/>
      <c r="I53" s="507"/>
      <c r="J53" s="507"/>
      <c r="K53" s="507"/>
      <c r="L53" s="507"/>
      <c r="M53" s="507"/>
      <c r="N53" s="507"/>
      <c r="O53" s="507"/>
      <c r="P53" s="507"/>
      <c r="Q53" s="507"/>
      <c r="R53" s="507"/>
      <c r="S53" s="507"/>
      <c r="T53" s="507"/>
      <c r="AE53" s="24"/>
    </row>
    <row r="54" spans="2:37" ht="18" customHeight="1" x14ac:dyDescent="0.25">
      <c r="B54" s="510"/>
      <c r="C54" s="508"/>
      <c r="D54" s="508"/>
      <c r="E54" s="508"/>
      <c r="F54" s="508"/>
      <c r="G54" s="508"/>
      <c r="H54" s="508"/>
      <c r="I54" s="508"/>
      <c r="J54" s="508"/>
      <c r="K54" s="508"/>
      <c r="L54" s="508"/>
      <c r="M54" s="508"/>
      <c r="N54" s="508"/>
      <c r="O54" s="508"/>
      <c r="P54" s="508"/>
      <c r="Q54" s="508"/>
      <c r="R54" s="508"/>
      <c r="S54" s="508"/>
      <c r="T54" s="508"/>
      <c r="AE54" s="24"/>
    </row>
    <row r="55" spans="2:37" ht="18" customHeight="1" x14ac:dyDescent="0.25">
      <c r="B55" s="58"/>
      <c r="C55" s="59"/>
      <c r="D55" s="60"/>
      <c r="E55" s="60"/>
      <c r="F55" s="59"/>
      <c r="G55" s="60"/>
      <c r="H55" s="60"/>
      <c r="I55" s="59"/>
      <c r="J55" s="60"/>
      <c r="K55" s="60"/>
      <c r="L55" s="59"/>
      <c r="M55" s="60"/>
      <c r="N55" s="60"/>
      <c r="O55" s="59"/>
      <c r="P55" s="60"/>
      <c r="Q55" s="60"/>
      <c r="R55" s="59"/>
      <c r="S55" s="60"/>
      <c r="T55" s="60"/>
      <c r="AE55" s="24"/>
    </row>
    <row r="56" spans="2:37" ht="18" customHeight="1" x14ac:dyDescent="0.25">
      <c r="B56" s="42" t="s">
        <v>71</v>
      </c>
      <c r="O56" s="19"/>
      <c r="P56" s="19"/>
    </row>
    <row r="57" spans="2:37" ht="30" customHeight="1" x14ac:dyDescent="0.25">
      <c r="B57" s="410" t="s">
        <v>80</v>
      </c>
      <c r="C57" s="492" t="s">
        <v>3994</v>
      </c>
      <c r="D57" s="493"/>
      <c r="E57" s="493"/>
      <c r="F57" s="493"/>
      <c r="G57" s="493"/>
      <c r="H57" s="493"/>
      <c r="I57" s="493"/>
      <c r="J57" s="493"/>
      <c r="K57" s="493"/>
      <c r="P57" s="52"/>
    </row>
    <row r="58" spans="2:37" ht="18" customHeight="1" x14ac:dyDescent="0.25">
      <c r="B58" s="410"/>
      <c r="C58" s="431" t="s">
        <v>57</v>
      </c>
      <c r="D58" s="431"/>
      <c r="E58" s="431"/>
      <c r="F58" s="431" t="s">
        <v>59</v>
      </c>
      <c r="G58" s="431"/>
      <c r="H58" s="431"/>
      <c r="I58" s="431" t="s">
        <v>64</v>
      </c>
      <c r="J58" s="431"/>
      <c r="K58" s="431"/>
    </row>
    <row r="59" spans="2:37" ht="23.45" customHeight="1" x14ac:dyDescent="0.25">
      <c r="B59" s="410"/>
      <c r="C59" s="263" t="s">
        <v>3996</v>
      </c>
      <c r="D59" s="264" t="s">
        <v>60</v>
      </c>
      <c r="E59" s="263" t="s">
        <v>3997</v>
      </c>
      <c r="F59" s="263" t="s">
        <v>3996</v>
      </c>
      <c r="G59" s="264" t="s">
        <v>60</v>
      </c>
      <c r="H59" s="263" t="s">
        <v>3997</v>
      </c>
      <c r="I59" s="263" t="s">
        <v>3996</v>
      </c>
      <c r="J59" s="264" t="s">
        <v>60</v>
      </c>
      <c r="K59" s="263" t="s">
        <v>3997</v>
      </c>
    </row>
    <row r="60" spans="2:37" ht="18" customHeight="1" x14ac:dyDescent="0.25">
      <c r="B60" s="25" t="str">
        <f>+'DÍAS PÚBL'!A7</f>
        <v>Jan</v>
      </c>
      <c r="C60" s="21" t="e">
        <f>+GETPIVOTDATA("Cuenta de Ítem",'DÍAS PÚBL'!$F$6,"Mes fin","ene")</f>
        <v>#REF!</v>
      </c>
      <c r="D60" s="21" t="e">
        <f>+GETPIVOTDATA("Suma de No. ",'DÍAS PÚBL'!$A$6,"Mes fin","ene")</f>
        <v>#REF!</v>
      </c>
      <c r="E60" s="28" t="e">
        <f>+D60/C60</f>
        <v>#REF!</v>
      </c>
      <c r="F60" s="21">
        <v>0</v>
      </c>
      <c r="G60" s="21">
        <v>0</v>
      </c>
      <c r="H60" s="28">
        <v>0</v>
      </c>
      <c r="I60" s="21" t="e">
        <f>+C60+F60</f>
        <v>#REF!</v>
      </c>
      <c r="J60" s="21" t="e">
        <f>+D60+G60</f>
        <v>#REF!</v>
      </c>
      <c r="K60" s="28" t="e">
        <f>+J60/I60</f>
        <v>#REF!</v>
      </c>
      <c r="M60" s="17" t="str">
        <f>+B60</f>
        <v>Jan</v>
      </c>
      <c r="N60" s="54" t="e">
        <f>+E60</f>
        <v>#REF!</v>
      </c>
      <c r="O60" s="17">
        <v>100</v>
      </c>
    </row>
    <row r="61" spans="2:37" ht="18" customHeight="1" x14ac:dyDescent="0.25">
      <c r="B61" s="26" t="s">
        <v>1297</v>
      </c>
      <c r="C61" s="23">
        <v>0</v>
      </c>
      <c r="D61" s="23">
        <v>0</v>
      </c>
      <c r="E61" s="92">
        <v>0</v>
      </c>
      <c r="F61" s="23">
        <v>0</v>
      </c>
      <c r="G61" s="23">
        <v>0</v>
      </c>
      <c r="H61" s="128">
        <v>0</v>
      </c>
      <c r="I61" s="23">
        <f t="shared" ref="I61" si="88">+C61+F61</f>
        <v>0</v>
      </c>
      <c r="J61" s="23">
        <f t="shared" ref="J61" si="89">+D61+G61</f>
        <v>0</v>
      </c>
      <c r="K61" s="92">
        <v>0</v>
      </c>
      <c r="M61" s="17" t="str">
        <f t="shared" ref="M61" si="90">+B61</f>
        <v>feb</v>
      </c>
      <c r="N61" s="54">
        <f t="shared" ref="N61:N66" si="91">+E61</f>
        <v>0</v>
      </c>
      <c r="O61" s="17">
        <v>100</v>
      </c>
    </row>
    <row r="62" spans="2:37" ht="18" customHeight="1" x14ac:dyDescent="0.25">
      <c r="B62" s="31" t="s">
        <v>1558</v>
      </c>
      <c r="C62" s="21">
        <v>0</v>
      </c>
      <c r="D62" s="21">
        <v>0</v>
      </c>
      <c r="E62" s="93">
        <v>0</v>
      </c>
      <c r="F62" s="21">
        <v>0</v>
      </c>
      <c r="G62" s="21">
        <v>0</v>
      </c>
      <c r="H62" s="129">
        <v>0</v>
      </c>
      <c r="I62" s="21">
        <f t="shared" ref="I62:J64" si="92">+C62+F62</f>
        <v>0</v>
      </c>
      <c r="J62" s="21">
        <f t="shared" si="92"/>
        <v>0</v>
      </c>
      <c r="K62" s="93">
        <v>0</v>
      </c>
      <c r="M62" s="17" t="str">
        <f t="shared" ref="M62" si="93">+B62</f>
        <v>mar</v>
      </c>
      <c r="N62" s="54">
        <f t="shared" si="91"/>
        <v>0</v>
      </c>
      <c r="O62" s="17">
        <v>100</v>
      </c>
    </row>
    <row r="63" spans="2:37" ht="18" customHeight="1" x14ac:dyDescent="0.25">
      <c r="B63" s="26" t="s">
        <v>1767</v>
      </c>
      <c r="C63" s="23" t="e">
        <f>+GETPIVOTDATA("Cuenta de Ítem",'DÍAS PÚBL'!$F$6,"Mes fin","abr")</f>
        <v>#REF!</v>
      </c>
      <c r="D63" s="23" t="e">
        <f>+GETPIVOTDATA("Suma de No. ",'DÍAS PÚBL'!$A$6,"Mes fin","abr")</f>
        <v>#REF!</v>
      </c>
      <c r="E63" s="29" t="e">
        <f t="shared" ref="E63:E71" si="94">+D63/C63</f>
        <v>#REF!</v>
      </c>
      <c r="F63" s="23">
        <v>0</v>
      </c>
      <c r="G63" s="23">
        <v>0</v>
      </c>
      <c r="H63" s="29">
        <v>0</v>
      </c>
      <c r="I63" s="23" t="e">
        <f t="shared" si="92"/>
        <v>#REF!</v>
      </c>
      <c r="J63" s="23" t="e">
        <f t="shared" si="92"/>
        <v>#REF!</v>
      </c>
      <c r="K63" s="29" t="e">
        <f t="shared" ref="K63:K71" si="95">+J63/I63</f>
        <v>#REF!</v>
      </c>
      <c r="M63" s="17" t="str">
        <f t="shared" ref="M63" si="96">+B63</f>
        <v>abr</v>
      </c>
      <c r="N63" s="54" t="e">
        <f t="shared" si="91"/>
        <v>#REF!</v>
      </c>
      <c r="O63" s="17">
        <v>100</v>
      </c>
    </row>
    <row r="64" spans="2:37" ht="18" customHeight="1" x14ac:dyDescent="0.25">
      <c r="B64" s="31" t="s">
        <v>1788</v>
      </c>
      <c r="C64" s="21">
        <f>+GETPIVOTDATA("Cuenta de Ítem",'DÍAS PÚBL'!$F$6,"Mes fin","may")</f>
        <v>2</v>
      </c>
      <c r="D64" s="32">
        <f>+GETPIVOTDATA("Suma de No. 
de días",'DÍAS PÚBL'!$F$6,"Mes fin","MAY")</f>
        <v>164</v>
      </c>
      <c r="E64" s="28">
        <f t="shared" si="94"/>
        <v>82</v>
      </c>
      <c r="F64" s="21">
        <f>+GETPIVOTDATA("Cuenta de Ítem",'DÍAS PÚBL'!$K$6,"Mes fin","MAY")</f>
        <v>5</v>
      </c>
      <c r="G64" s="21">
        <f>+GETPIVOTDATA("Suma de No. 
de días",'DÍAS PÚBL'!$K$6,"Mes fin","MAY")</f>
        <v>269</v>
      </c>
      <c r="H64" s="129">
        <f t="shared" ref="H64:H71" si="97">+G64/F64</f>
        <v>53.8</v>
      </c>
      <c r="I64" s="21">
        <f t="shared" si="92"/>
        <v>7</v>
      </c>
      <c r="J64" s="21">
        <f t="shared" si="92"/>
        <v>433</v>
      </c>
      <c r="K64" s="28">
        <f t="shared" si="95"/>
        <v>61.857142857142854</v>
      </c>
      <c r="M64" s="17" t="str">
        <f t="shared" ref="M64" si="98">+B64</f>
        <v>may</v>
      </c>
      <c r="N64" s="54">
        <f t="shared" si="91"/>
        <v>82</v>
      </c>
      <c r="O64" s="17">
        <v>100</v>
      </c>
    </row>
    <row r="65" spans="2:15" ht="18" customHeight="1" x14ac:dyDescent="0.25">
      <c r="B65" s="26" t="s">
        <v>2371</v>
      </c>
      <c r="C65" s="23">
        <f>+GETPIVOTDATA("Cuenta de Ítem",'DÍAS PÚBL'!$F$6,"Mes fin","jun")</f>
        <v>4</v>
      </c>
      <c r="D65" s="23">
        <v>398</v>
      </c>
      <c r="E65" s="29">
        <f t="shared" si="94"/>
        <v>99.5</v>
      </c>
      <c r="F65" s="23">
        <v>1</v>
      </c>
      <c r="G65" s="23">
        <v>99</v>
      </c>
      <c r="H65" s="130">
        <f t="shared" si="97"/>
        <v>99</v>
      </c>
      <c r="I65" s="23">
        <f t="shared" ref="I65:I66" si="99">+C65+F65</f>
        <v>5</v>
      </c>
      <c r="J65" s="23">
        <f t="shared" ref="J65:J66" si="100">+D65+G65</f>
        <v>497</v>
      </c>
      <c r="K65" s="29">
        <f t="shared" si="95"/>
        <v>99.4</v>
      </c>
      <c r="M65" s="17" t="str">
        <f t="shared" ref="M65" si="101">+B65</f>
        <v>jun</v>
      </c>
      <c r="N65" s="54">
        <f t="shared" si="91"/>
        <v>99.5</v>
      </c>
      <c r="O65" s="17">
        <v>100</v>
      </c>
    </row>
    <row r="66" spans="2:15" ht="18" customHeight="1" x14ac:dyDescent="0.25">
      <c r="B66" s="31" t="s">
        <v>3153</v>
      </c>
      <c r="C66" s="21">
        <f>+GETPIVOTDATA("Cuenta de Ítem",'DÍAS PÚBL'!$F$6,"Mes fin","jul")</f>
        <v>9</v>
      </c>
      <c r="D66" s="32">
        <f>+GETPIVOTDATA("Suma de No. 
de días",'DÍAS PÚBL'!$F$6,"Mes fin","jul")</f>
        <v>847</v>
      </c>
      <c r="E66" s="28">
        <f t="shared" si="94"/>
        <v>94.111111111111114</v>
      </c>
      <c r="F66" s="21">
        <f>+GETPIVOTDATA("Cuenta de Ítem",'DÍAS PÚBL'!$K$6,"Mes fin","jul")</f>
        <v>1</v>
      </c>
      <c r="G66" s="21">
        <f>+GETPIVOTDATA("Suma de No. 
de días",'DÍAS PÚBL'!$K$6,"Mes fin","jul")</f>
        <v>95</v>
      </c>
      <c r="H66" s="129">
        <f t="shared" si="97"/>
        <v>95</v>
      </c>
      <c r="I66" s="21">
        <f t="shared" si="99"/>
        <v>10</v>
      </c>
      <c r="J66" s="21">
        <f t="shared" si="100"/>
        <v>942</v>
      </c>
      <c r="K66" s="28">
        <f t="shared" si="95"/>
        <v>94.2</v>
      </c>
      <c r="M66" s="17" t="str">
        <f t="shared" ref="M66" si="102">+B66</f>
        <v>jul</v>
      </c>
      <c r="N66" s="54">
        <f t="shared" si="91"/>
        <v>94.111111111111114</v>
      </c>
      <c r="O66" s="17">
        <v>100</v>
      </c>
    </row>
    <row r="67" spans="2:15" ht="18" customHeight="1" x14ac:dyDescent="0.25">
      <c r="B67" s="26" t="s">
        <v>3393</v>
      </c>
      <c r="C67" s="23" t="e">
        <f>+GETPIVOTDATA("Cuenta de Ítem",'DÍAS PÚBL'!$F$6,"Mes fin","ago")</f>
        <v>#REF!</v>
      </c>
      <c r="D67" s="23">
        <v>1290</v>
      </c>
      <c r="E67" s="29" t="e">
        <f t="shared" si="94"/>
        <v>#REF!</v>
      </c>
      <c r="F67" s="23">
        <v>4</v>
      </c>
      <c r="G67" s="23">
        <v>372</v>
      </c>
      <c r="H67" s="130">
        <f t="shared" si="97"/>
        <v>93</v>
      </c>
      <c r="I67" s="23" t="e">
        <f t="shared" ref="I67:I68" si="103">+C67+F67</f>
        <v>#REF!</v>
      </c>
      <c r="J67" s="23">
        <f t="shared" ref="J67:J68" si="104">+D67+G67</f>
        <v>1662</v>
      </c>
      <c r="K67" s="29" t="e">
        <f t="shared" si="95"/>
        <v>#REF!</v>
      </c>
      <c r="M67" s="17" t="str">
        <f t="shared" ref="M67" si="105">+B67</f>
        <v>ago</v>
      </c>
      <c r="N67" s="54" t="e">
        <f t="shared" ref="N67" si="106">+E67</f>
        <v>#REF!</v>
      </c>
      <c r="O67" s="17">
        <v>100</v>
      </c>
    </row>
    <row r="68" spans="2:15" ht="18" customHeight="1" x14ac:dyDescent="0.25">
      <c r="B68" s="31" t="s">
        <v>3891</v>
      </c>
      <c r="C68" s="21">
        <f>+GETPIVOTDATA("Cuenta de Ítem",'DÍAS PÚBL'!$F$6,"Mes fin","sep")</f>
        <v>9</v>
      </c>
      <c r="D68" s="32">
        <f>+GETPIVOTDATA("Suma de No. 
de días",'DÍAS PÚBL'!$F$6,"Mes fin","sep")</f>
        <v>983</v>
      </c>
      <c r="E68" s="28">
        <f t="shared" ref="E68" si="107">+D68/C68</f>
        <v>109.22222222222223</v>
      </c>
      <c r="F68" s="21">
        <f>+GETPIVOTDATA("Cuenta de Ítem",'DÍAS PÚBL'!$K$6,"Mes fin","sep")</f>
        <v>2</v>
      </c>
      <c r="G68" s="21">
        <f>+GETPIVOTDATA("Suma de No. 
de días",'DÍAS PÚBL'!$K$6,"Mes fin","sep")</f>
        <v>244</v>
      </c>
      <c r="H68" s="129">
        <f t="shared" si="97"/>
        <v>122</v>
      </c>
      <c r="I68" s="21">
        <f t="shared" si="103"/>
        <v>11</v>
      </c>
      <c r="J68" s="21">
        <f t="shared" si="104"/>
        <v>1227</v>
      </c>
      <c r="K68" s="28">
        <f t="shared" ref="K68" si="108">+J68/I68</f>
        <v>111.54545454545455</v>
      </c>
      <c r="M68" s="17" t="str">
        <f t="shared" ref="M68" si="109">+B68</f>
        <v>sep</v>
      </c>
      <c r="N68" s="54">
        <f t="shared" ref="N68" si="110">+E68</f>
        <v>109.22222222222223</v>
      </c>
      <c r="O68" s="17">
        <v>100</v>
      </c>
    </row>
    <row r="69" spans="2:15" ht="18" customHeight="1" x14ac:dyDescent="0.25">
      <c r="B69" s="26" t="s">
        <v>3911</v>
      </c>
      <c r="C69" s="23">
        <v>0</v>
      </c>
      <c r="D69" s="23">
        <v>0</v>
      </c>
      <c r="E69" s="29">
        <v>0</v>
      </c>
      <c r="F69" s="23">
        <v>0</v>
      </c>
      <c r="G69" s="23">
        <v>0</v>
      </c>
      <c r="H69" s="130">
        <v>0</v>
      </c>
      <c r="I69" s="23">
        <f t="shared" ref="I69" si="111">+C69+F69</f>
        <v>0</v>
      </c>
      <c r="J69" s="23">
        <f t="shared" ref="J69" si="112">+D69+G69</f>
        <v>0</v>
      </c>
      <c r="K69" s="29">
        <v>0</v>
      </c>
      <c r="M69" s="17" t="str">
        <f t="shared" ref="M69" si="113">+B69</f>
        <v>oct</v>
      </c>
      <c r="N69" s="54">
        <f t="shared" ref="N69" si="114">+E69</f>
        <v>0</v>
      </c>
      <c r="O69" s="17">
        <v>100</v>
      </c>
    </row>
    <row r="70" spans="2:15" ht="18" customHeight="1" x14ac:dyDescent="0.25">
      <c r="B70" s="31" t="s">
        <v>4233</v>
      </c>
      <c r="C70" s="21">
        <v>0</v>
      </c>
      <c r="D70" s="32">
        <v>0</v>
      </c>
      <c r="E70" s="28">
        <v>0</v>
      </c>
      <c r="F70" s="21">
        <v>0</v>
      </c>
      <c r="G70" s="21">
        <v>0</v>
      </c>
      <c r="H70" s="129">
        <v>0</v>
      </c>
      <c r="I70" s="21">
        <v>0</v>
      </c>
      <c r="J70" s="21">
        <v>0</v>
      </c>
      <c r="K70" s="28">
        <v>0</v>
      </c>
      <c r="M70" s="17" t="str">
        <f t="shared" ref="M70" si="115">+B70</f>
        <v>nov</v>
      </c>
      <c r="N70" s="54">
        <f t="shared" ref="N70" si="116">+E70</f>
        <v>0</v>
      </c>
      <c r="O70" s="17">
        <v>100</v>
      </c>
    </row>
    <row r="71" spans="2:15" ht="18" customHeight="1" x14ac:dyDescent="0.25">
      <c r="B71" s="34" t="s">
        <v>49</v>
      </c>
      <c r="C71" s="35" t="e">
        <f>SUM(C60:C70)</f>
        <v>#REF!</v>
      </c>
      <c r="D71" s="35" t="e">
        <f>SUM(D60:D70)</f>
        <v>#REF!</v>
      </c>
      <c r="E71" s="36" t="e">
        <f t="shared" si="94"/>
        <v>#REF!</v>
      </c>
      <c r="F71" s="35">
        <f>SUM(F60:F70)</f>
        <v>13</v>
      </c>
      <c r="G71" s="35">
        <f>SUM(G60:G70)</f>
        <v>1079</v>
      </c>
      <c r="H71" s="36">
        <f t="shared" si="97"/>
        <v>83</v>
      </c>
      <c r="I71" s="35" t="e">
        <f>SUM(I60:I70)</f>
        <v>#REF!</v>
      </c>
      <c r="J71" s="35" t="e">
        <f>SUM(J60:J70)</f>
        <v>#REF!</v>
      </c>
      <c r="K71" s="36" t="e">
        <f t="shared" si="95"/>
        <v>#REF!</v>
      </c>
    </row>
    <row r="72" spans="2:15" ht="18" customHeight="1" x14ac:dyDescent="0.25">
      <c r="B72" s="30" t="s">
        <v>62</v>
      </c>
      <c r="C72" s="491">
        <v>100</v>
      </c>
      <c r="D72" s="491"/>
      <c r="E72" s="491"/>
      <c r="F72" s="491">
        <v>100</v>
      </c>
      <c r="G72" s="491"/>
      <c r="H72" s="491"/>
      <c r="I72" s="491">
        <v>100</v>
      </c>
      <c r="J72" s="491"/>
      <c r="K72" s="491"/>
    </row>
    <row r="73" spans="2:15" ht="18" customHeight="1" x14ac:dyDescent="0.25">
      <c r="B73" s="34" t="s">
        <v>63</v>
      </c>
      <c r="C73" s="459" t="e">
        <f>+C72/E71</f>
        <v>#REF!</v>
      </c>
      <c r="D73" s="459"/>
      <c r="E73" s="459"/>
      <c r="F73" s="463">
        <f>+F72/H71</f>
        <v>1.2048192771084338</v>
      </c>
      <c r="G73" s="463"/>
      <c r="H73" s="463"/>
      <c r="I73" s="463" t="e">
        <f>+I72/K71</f>
        <v>#REF!</v>
      </c>
      <c r="J73" s="463"/>
      <c r="K73" s="463"/>
    </row>
    <row r="75" spans="2:15" ht="30" customHeight="1" x14ac:dyDescent="0.25">
      <c r="B75" s="410" t="s">
        <v>80</v>
      </c>
      <c r="C75" s="492" t="s">
        <v>3995</v>
      </c>
      <c r="D75" s="493"/>
      <c r="E75" s="493"/>
      <c r="F75" s="493"/>
      <c r="G75" s="493"/>
      <c r="H75" s="493"/>
      <c r="I75" s="493"/>
      <c r="J75" s="493"/>
      <c r="K75" s="493"/>
    </row>
    <row r="76" spans="2:15" ht="18" customHeight="1" x14ac:dyDescent="0.25">
      <c r="B76" s="410"/>
      <c r="C76" s="431" t="s">
        <v>57</v>
      </c>
      <c r="D76" s="431"/>
      <c r="E76" s="431"/>
      <c r="F76" s="431" t="s">
        <v>59</v>
      </c>
      <c r="G76" s="431"/>
      <c r="H76" s="431"/>
      <c r="I76" s="431" t="s">
        <v>64</v>
      </c>
      <c r="J76" s="431"/>
      <c r="K76" s="431"/>
    </row>
    <row r="77" spans="2:15" ht="33.75" x14ac:dyDescent="0.25">
      <c r="B77" s="410"/>
      <c r="C77" s="263" t="s">
        <v>3996</v>
      </c>
      <c r="D77" s="264" t="s">
        <v>60</v>
      </c>
      <c r="E77" s="263" t="s">
        <v>3997</v>
      </c>
      <c r="F77" s="263" t="s">
        <v>3996</v>
      </c>
      <c r="G77" s="264" t="s">
        <v>60</v>
      </c>
      <c r="H77" s="263" t="s">
        <v>3997</v>
      </c>
      <c r="I77" s="263" t="s">
        <v>3996</v>
      </c>
      <c r="J77" s="264" t="s">
        <v>60</v>
      </c>
      <c r="K77" s="263" t="s">
        <v>3997</v>
      </c>
    </row>
    <row r="78" spans="2:15" ht="18" customHeight="1" x14ac:dyDescent="0.25">
      <c r="B78" s="31" t="str">
        <f>+'DÍAS PRIV'!A7</f>
        <v>Jan</v>
      </c>
      <c r="C78" s="32" t="e">
        <f>+GETPIVOTDATA("Cuenta de Ítem",'DÍAS PRIV'!$F$6,"Mes fin","ene")</f>
        <v>#REF!</v>
      </c>
      <c r="D78" s="32" t="e">
        <f>+GETPIVOTDATA("Suma de No. 
de días",'DÍAS PRIV'!$F$6,"Mes fin","ene")</f>
        <v>#REF!</v>
      </c>
      <c r="E78" s="28" t="e">
        <f t="shared" ref="E78" si="117">+D78/C78</f>
        <v>#REF!</v>
      </c>
      <c r="F78" s="32" t="e">
        <f>+GETPIVOTDATA("Cuenta de Ítem",'DÍAS PRIV'!$K$6,"Mes fin","ene")</f>
        <v>#REF!</v>
      </c>
      <c r="G78" s="32" t="e">
        <f>+GETPIVOTDATA("Suma de No. 
de días",'DÍAS PRIV'!$K$6,"Mes fin","ene")</f>
        <v>#REF!</v>
      </c>
      <c r="H78" s="28" t="e">
        <f t="shared" ref="H78" si="118">+G78/F78</f>
        <v>#REF!</v>
      </c>
      <c r="I78" s="32" t="e">
        <f>+C78+F78</f>
        <v>#REF!</v>
      </c>
      <c r="J78" s="32" t="e">
        <f>+D78+G78</f>
        <v>#REF!</v>
      </c>
      <c r="K78" s="33" t="e">
        <f>+J78/I78</f>
        <v>#REF!</v>
      </c>
      <c r="M78" s="17" t="str">
        <f>+B78</f>
        <v>Jan</v>
      </c>
      <c r="N78" s="54" t="e">
        <f>+E78</f>
        <v>#REF!</v>
      </c>
      <c r="O78" s="17">
        <v>25</v>
      </c>
    </row>
    <row r="79" spans="2:15" ht="18" customHeight="1" x14ac:dyDescent="0.25">
      <c r="B79" s="26" t="s">
        <v>1297</v>
      </c>
      <c r="C79" s="23">
        <v>0</v>
      </c>
      <c r="D79" s="23">
        <v>0</v>
      </c>
      <c r="E79" s="92">
        <v>0</v>
      </c>
      <c r="F79" s="23">
        <v>0</v>
      </c>
      <c r="G79" s="23">
        <v>0</v>
      </c>
      <c r="H79" s="92">
        <v>0</v>
      </c>
      <c r="I79" s="23">
        <f t="shared" ref="I79" si="119">+C79+F79</f>
        <v>0</v>
      </c>
      <c r="J79" s="23">
        <f t="shared" ref="J79" si="120">+D79+G79</f>
        <v>0</v>
      </c>
      <c r="K79" s="92">
        <v>0</v>
      </c>
      <c r="M79" s="17" t="str">
        <f t="shared" ref="M79" si="121">+B79</f>
        <v>feb</v>
      </c>
      <c r="N79" s="54">
        <f t="shared" ref="N79:N84" si="122">+E79</f>
        <v>0</v>
      </c>
      <c r="O79" s="17">
        <v>25</v>
      </c>
    </row>
    <row r="80" spans="2:15" ht="18" customHeight="1" x14ac:dyDescent="0.25">
      <c r="B80" s="31" t="s">
        <v>1558</v>
      </c>
      <c r="C80" s="32">
        <v>0</v>
      </c>
      <c r="D80" s="32">
        <v>0</v>
      </c>
      <c r="E80" s="93">
        <v>0</v>
      </c>
      <c r="F80" s="32">
        <v>0</v>
      </c>
      <c r="G80" s="32">
        <v>0</v>
      </c>
      <c r="H80" s="93">
        <v>0</v>
      </c>
      <c r="I80" s="32">
        <f t="shared" ref="I80:J82" si="123">+C80+F80</f>
        <v>0</v>
      </c>
      <c r="J80" s="32">
        <f t="shared" si="123"/>
        <v>0</v>
      </c>
      <c r="K80" s="93">
        <v>0</v>
      </c>
      <c r="M80" s="17" t="str">
        <f t="shared" ref="M80" si="124">+B80</f>
        <v>mar</v>
      </c>
      <c r="N80" s="54">
        <f t="shared" si="122"/>
        <v>0</v>
      </c>
      <c r="O80" s="17">
        <v>25</v>
      </c>
    </row>
    <row r="81" spans="2:33" ht="18" customHeight="1" x14ac:dyDescent="0.25">
      <c r="B81" s="26" t="s">
        <v>1767</v>
      </c>
      <c r="C81" s="23">
        <v>0</v>
      </c>
      <c r="D81" s="23">
        <v>0</v>
      </c>
      <c r="E81" s="92">
        <v>0</v>
      </c>
      <c r="F81" s="23">
        <v>0</v>
      </c>
      <c r="G81" s="23">
        <v>0</v>
      </c>
      <c r="H81" s="92">
        <v>0</v>
      </c>
      <c r="I81" s="23">
        <f t="shared" si="123"/>
        <v>0</v>
      </c>
      <c r="J81" s="23">
        <f t="shared" si="123"/>
        <v>0</v>
      </c>
      <c r="K81" s="92">
        <v>0</v>
      </c>
      <c r="M81" s="17" t="str">
        <f t="shared" ref="M81" si="125">+B81</f>
        <v>abr</v>
      </c>
      <c r="N81" s="54">
        <f t="shared" si="122"/>
        <v>0</v>
      </c>
      <c r="O81" s="17">
        <v>25</v>
      </c>
    </row>
    <row r="82" spans="2:33" ht="18" customHeight="1" x14ac:dyDescent="0.25">
      <c r="B82" s="31" t="s">
        <v>1788</v>
      </c>
      <c r="C82" s="32">
        <v>0</v>
      </c>
      <c r="D82" s="32">
        <v>0</v>
      </c>
      <c r="E82" s="93">
        <v>0</v>
      </c>
      <c r="F82" s="32">
        <v>0</v>
      </c>
      <c r="G82" s="32">
        <v>0</v>
      </c>
      <c r="H82" s="93">
        <v>0</v>
      </c>
      <c r="I82" s="32">
        <f t="shared" si="123"/>
        <v>0</v>
      </c>
      <c r="J82" s="32">
        <f t="shared" si="123"/>
        <v>0</v>
      </c>
      <c r="K82" s="93">
        <v>0</v>
      </c>
      <c r="M82" s="17" t="str">
        <f t="shared" ref="M82" si="126">+B82</f>
        <v>may</v>
      </c>
      <c r="N82" s="54">
        <f t="shared" si="122"/>
        <v>0</v>
      </c>
      <c r="O82" s="17">
        <v>25</v>
      </c>
    </row>
    <row r="83" spans="2:33" ht="18" customHeight="1" x14ac:dyDescent="0.25">
      <c r="B83" s="26" t="s">
        <v>2371</v>
      </c>
      <c r="C83" s="23">
        <v>0</v>
      </c>
      <c r="D83" s="23">
        <v>0</v>
      </c>
      <c r="E83" s="92">
        <v>0</v>
      </c>
      <c r="F83" s="23">
        <v>0</v>
      </c>
      <c r="G83" s="23">
        <v>0</v>
      </c>
      <c r="H83" s="92">
        <v>0</v>
      </c>
      <c r="I83" s="23">
        <f t="shared" ref="I83:I84" si="127">+C83+F83</f>
        <v>0</v>
      </c>
      <c r="J83" s="23">
        <f t="shared" ref="J83:J84" si="128">+D83+G83</f>
        <v>0</v>
      </c>
      <c r="K83" s="92">
        <v>0</v>
      </c>
      <c r="M83" s="17" t="str">
        <f t="shared" ref="M83" si="129">+B83</f>
        <v>jun</v>
      </c>
      <c r="N83" s="54">
        <f t="shared" si="122"/>
        <v>0</v>
      </c>
      <c r="O83" s="17">
        <v>25</v>
      </c>
    </row>
    <row r="84" spans="2:33" ht="18" customHeight="1" x14ac:dyDescent="0.25">
      <c r="B84" s="31" t="s">
        <v>3153</v>
      </c>
      <c r="C84" s="32">
        <f>+GETPIVOTDATA("Cuenta de Ítem",'DÍAS PRIV'!$F$6,"Mes fin","jul")</f>
        <v>10</v>
      </c>
      <c r="D84" s="32">
        <f>+GETPIVOTDATA("Suma de No. 
de días",'DÍAS PRIV'!$F$6,"Mes fin","jul")</f>
        <v>214</v>
      </c>
      <c r="E84" s="28">
        <f t="shared" ref="E84:E85" si="130">+D84/C84</f>
        <v>21.4</v>
      </c>
      <c r="F84" s="32">
        <f>+GETPIVOTDATA("Cuenta de Ítem",'DÍAS PRIV'!$K$6,"Mes fin","jul")</f>
        <v>1</v>
      </c>
      <c r="G84" s="32">
        <f>+GETPIVOTDATA("Suma de No. 
de días",'DÍAS PRIV'!$K$6,"Mes fin","jul")</f>
        <v>28</v>
      </c>
      <c r="H84" s="28">
        <f t="shared" ref="H84:H85" si="131">+G84/F84</f>
        <v>28</v>
      </c>
      <c r="I84" s="32">
        <f t="shared" si="127"/>
        <v>11</v>
      </c>
      <c r="J84" s="32">
        <f t="shared" si="128"/>
        <v>242</v>
      </c>
      <c r="K84" s="28">
        <f t="shared" ref="K84:K85" si="132">+J84/I84</f>
        <v>22</v>
      </c>
      <c r="M84" s="17" t="str">
        <f t="shared" ref="M84" si="133">+B84</f>
        <v>jul</v>
      </c>
      <c r="N84" s="54">
        <f t="shared" si="122"/>
        <v>21.4</v>
      </c>
      <c r="O84" s="17">
        <v>25</v>
      </c>
    </row>
    <row r="85" spans="2:33" ht="18" customHeight="1" x14ac:dyDescent="0.25">
      <c r="B85" s="26" t="s">
        <v>3393</v>
      </c>
      <c r="C85" s="23">
        <v>32</v>
      </c>
      <c r="D85" s="23">
        <v>834</v>
      </c>
      <c r="E85" s="29">
        <f t="shared" si="130"/>
        <v>26.0625</v>
      </c>
      <c r="F85" s="23">
        <v>6</v>
      </c>
      <c r="G85" s="23">
        <v>183</v>
      </c>
      <c r="H85" s="29">
        <f t="shared" si="131"/>
        <v>30.5</v>
      </c>
      <c r="I85" s="23">
        <f t="shared" ref="I85:I86" si="134">+C85+F85</f>
        <v>38</v>
      </c>
      <c r="J85" s="23">
        <f t="shared" ref="J85:J86" si="135">+D85+G85</f>
        <v>1017</v>
      </c>
      <c r="K85" s="29">
        <f t="shared" si="132"/>
        <v>26.763157894736842</v>
      </c>
      <c r="M85" s="17" t="str">
        <f t="shared" ref="M85" si="136">+B85</f>
        <v>ago</v>
      </c>
      <c r="N85" s="54">
        <f t="shared" ref="N85" si="137">+E85</f>
        <v>26.0625</v>
      </c>
      <c r="O85" s="17">
        <v>25</v>
      </c>
    </row>
    <row r="86" spans="2:33" ht="18" customHeight="1" x14ac:dyDescent="0.25">
      <c r="B86" s="31" t="s">
        <v>3891</v>
      </c>
      <c r="C86" s="32">
        <f>+GETPIVOTDATA("Cuenta de Ítem",'DÍAS PRIV'!$F$6,"Mes fin","sep")</f>
        <v>51</v>
      </c>
      <c r="D86" s="32">
        <f>+GETPIVOTDATA("Suma de No. 
de días",'DÍAS PRIV'!$F$6,"Mes fin","sep")</f>
        <v>1676</v>
      </c>
      <c r="E86" s="28">
        <f t="shared" ref="E86" si="138">+D86/C86</f>
        <v>32.862745098039213</v>
      </c>
      <c r="F86" s="32">
        <f>+GETPIVOTDATA("Cuenta de Ítem",'DÍAS PRIV'!$K$6,"Mes fin","sep")</f>
        <v>12</v>
      </c>
      <c r="G86" s="32">
        <f>+GETPIVOTDATA("Suma de No. 
de días",'DÍAS PRIV'!$K$6,"Mes fin","sep")</f>
        <v>323</v>
      </c>
      <c r="H86" s="28">
        <f t="shared" ref="H86" si="139">+G86/F86</f>
        <v>26.916666666666668</v>
      </c>
      <c r="I86" s="32">
        <f t="shared" si="134"/>
        <v>63</v>
      </c>
      <c r="J86" s="32">
        <f t="shared" si="135"/>
        <v>1999</v>
      </c>
      <c r="K86" s="28">
        <f t="shared" ref="K86" si="140">+J86/I86</f>
        <v>31.730158730158731</v>
      </c>
      <c r="M86" s="17" t="str">
        <f t="shared" ref="M86" si="141">+B86</f>
        <v>sep</v>
      </c>
      <c r="N86" s="54">
        <f t="shared" ref="N86" si="142">+E86</f>
        <v>32.862745098039213</v>
      </c>
      <c r="O86" s="17">
        <v>25</v>
      </c>
    </row>
    <row r="87" spans="2:33" ht="18" customHeight="1" x14ac:dyDescent="0.25">
      <c r="B87" s="26" t="s">
        <v>3911</v>
      </c>
      <c r="C87" s="23">
        <f>+GETPIVOTDATA("Cuenta de Ítem",'DÍAS PRIV'!$F$6,"Mes fin","oct")</f>
        <v>8</v>
      </c>
      <c r="D87" s="23">
        <v>448</v>
      </c>
      <c r="E87" s="29">
        <f t="shared" ref="E87:E88" si="143">+D87/C87</f>
        <v>56</v>
      </c>
      <c r="F87" s="23">
        <f>+GETPIVOTDATA("Cuenta de Ítem",'DÍAS PRIV'!$K$6,"Mes fin","oct")</f>
        <v>6</v>
      </c>
      <c r="G87" s="23">
        <v>239</v>
      </c>
      <c r="H87" s="29">
        <f t="shared" ref="H87:H88" si="144">+G87/F87</f>
        <v>39.833333333333336</v>
      </c>
      <c r="I87" s="23">
        <f t="shared" ref="I87:I88" si="145">+C87+F87</f>
        <v>14</v>
      </c>
      <c r="J87" s="23">
        <f t="shared" ref="J87:J88" si="146">+D87+G87</f>
        <v>687</v>
      </c>
      <c r="K87" s="29">
        <f t="shared" ref="K87:K88" si="147">+J87/I87</f>
        <v>49.071428571428569</v>
      </c>
      <c r="M87" s="17" t="str">
        <f t="shared" ref="M87" si="148">+B87</f>
        <v>oct</v>
      </c>
      <c r="N87" s="54">
        <f t="shared" ref="N87" si="149">+E87</f>
        <v>56</v>
      </c>
      <c r="O87" s="17">
        <v>25</v>
      </c>
    </row>
    <row r="88" spans="2:33" ht="18" customHeight="1" x14ac:dyDescent="0.25">
      <c r="B88" s="31" t="s">
        <v>4233</v>
      </c>
      <c r="C88" s="32">
        <f>+GETPIVOTDATA("Cuenta de Ítem",'DÍAS PRIV'!$F$6,"Mes fin","nov")</f>
        <v>5</v>
      </c>
      <c r="D88" s="32">
        <v>210</v>
      </c>
      <c r="E88" s="28">
        <f t="shared" si="143"/>
        <v>42</v>
      </c>
      <c r="F88" s="32">
        <f>+GETPIVOTDATA("Cuenta de Ítem",'DÍAS PRIV'!$K$6,"Mes fin","nov")</f>
        <v>3</v>
      </c>
      <c r="G88" s="32">
        <v>109</v>
      </c>
      <c r="H88" s="28">
        <f t="shared" si="144"/>
        <v>36.333333333333336</v>
      </c>
      <c r="I88" s="32">
        <f t="shared" si="145"/>
        <v>8</v>
      </c>
      <c r="J88" s="32">
        <f t="shared" si="146"/>
        <v>319</v>
      </c>
      <c r="K88" s="28">
        <f t="shared" si="147"/>
        <v>39.875</v>
      </c>
      <c r="M88" s="17" t="str">
        <f t="shared" ref="M88" si="150">+B88</f>
        <v>nov</v>
      </c>
      <c r="N88" s="54">
        <f t="shared" ref="N88" si="151">+E88</f>
        <v>42</v>
      </c>
      <c r="O88" s="17">
        <v>25</v>
      </c>
    </row>
    <row r="89" spans="2:33" ht="18" customHeight="1" x14ac:dyDescent="0.25">
      <c r="B89" s="34" t="s">
        <v>49</v>
      </c>
      <c r="C89" s="35" t="e">
        <f>SUM(C78:C88)</f>
        <v>#REF!</v>
      </c>
      <c r="D89" s="35" t="e">
        <f>SUM(D78:D88)</f>
        <v>#REF!</v>
      </c>
      <c r="E89" s="36" t="e">
        <f>+D89/C89</f>
        <v>#REF!</v>
      </c>
      <c r="F89" s="35" t="e">
        <f>SUM(F78:F88)</f>
        <v>#REF!</v>
      </c>
      <c r="G89" s="35" t="e">
        <f>SUM(G78:G88)</f>
        <v>#REF!</v>
      </c>
      <c r="H89" s="36" t="e">
        <f>+G89/F89</f>
        <v>#REF!</v>
      </c>
      <c r="I89" s="35" t="e">
        <f>SUM(I78:I88)</f>
        <v>#REF!</v>
      </c>
      <c r="J89" s="35" t="e">
        <f>SUM(J78:J88)</f>
        <v>#REF!</v>
      </c>
      <c r="K89" s="36" t="e">
        <f>+J89/I89</f>
        <v>#REF!</v>
      </c>
    </row>
    <row r="90" spans="2:33" ht="18" customHeight="1" x14ac:dyDescent="0.25">
      <c r="B90" s="30" t="s">
        <v>62</v>
      </c>
      <c r="C90" s="491">
        <v>25</v>
      </c>
      <c r="D90" s="491"/>
      <c r="E90" s="491"/>
      <c r="F90" s="491">
        <v>25</v>
      </c>
      <c r="G90" s="491"/>
      <c r="H90" s="491"/>
      <c r="I90" s="491">
        <v>25</v>
      </c>
      <c r="J90" s="491"/>
      <c r="K90" s="491"/>
    </row>
    <row r="91" spans="2:33" ht="18" customHeight="1" x14ac:dyDescent="0.25">
      <c r="B91" s="34" t="s">
        <v>63</v>
      </c>
      <c r="C91" s="459" t="e">
        <f>+C90/E89</f>
        <v>#REF!</v>
      </c>
      <c r="D91" s="459"/>
      <c r="E91" s="459"/>
      <c r="F91" s="463" t="e">
        <f>+F90/H89</f>
        <v>#REF!</v>
      </c>
      <c r="G91" s="463"/>
      <c r="H91" s="463"/>
      <c r="I91" s="459" t="e">
        <f>+I90/K89</f>
        <v>#REF!</v>
      </c>
      <c r="J91" s="459"/>
      <c r="K91" s="459"/>
    </row>
    <row r="92" spans="2:33" ht="18" customHeight="1" x14ac:dyDescent="0.25">
      <c r="B92" s="506" t="s">
        <v>3993</v>
      </c>
      <c r="C92" s="506"/>
      <c r="D92" s="506"/>
      <c r="E92" s="506"/>
      <c r="F92" s="506"/>
      <c r="G92" s="506"/>
      <c r="H92" s="506"/>
      <c r="I92" s="506"/>
      <c r="J92" s="506"/>
      <c r="K92" s="506"/>
    </row>
    <row r="94" spans="2:33" ht="18" customHeight="1" x14ac:dyDescent="0.25">
      <c r="B94" s="42" t="s">
        <v>70</v>
      </c>
    </row>
    <row r="95" spans="2:33" ht="30" customHeight="1" x14ac:dyDescent="0.25">
      <c r="B95" s="410" t="s">
        <v>69</v>
      </c>
      <c r="C95" s="425" t="s">
        <v>3998</v>
      </c>
      <c r="D95" s="426"/>
      <c r="E95" s="426"/>
      <c r="F95" s="426"/>
      <c r="G95" s="426"/>
      <c r="H95" s="426"/>
      <c r="I95" s="426"/>
      <c r="J95" s="426"/>
      <c r="K95" s="426"/>
      <c r="L95" s="426"/>
      <c r="M95" s="426"/>
      <c r="AC95" s="17" t="str">
        <f>+C95</f>
        <v>Invitación Pública
(Meta 1,0%)</v>
      </c>
      <c r="AD95" s="18" t="e">
        <f>+C108</f>
        <v>#REF!</v>
      </c>
      <c r="AE95" s="18" t="e">
        <f>+F108</f>
        <v>#REF!</v>
      </c>
      <c r="AF95" s="18" t="e">
        <f>+AD95-AE95</f>
        <v>#REF!</v>
      </c>
      <c r="AG95" s="24" t="e">
        <f>+AF95/AD95</f>
        <v>#REF!</v>
      </c>
    </row>
    <row r="96" spans="2:33" ht="18" customHeight="1" x14ac:dyDescent="0.25">
      <c r="B96" s="410"/>
      <c r="C96" s="427" t="s">
        <v>67</v>
      </c>
      <c r="D96" s="428"/>
      <c r="E96" s="428"/>
      <c r="F96" s="427" t="s">
        <v>65</v>
      </c>
      <c r="G96" s="428"/>
      <c r="H96" s="428"/>
      <c r="I96" s="429" t="s">
        <v>68</v>
      </c>
      <c r="J96" s="430"/>
      <c r="K96" s="430"/>
      <c r="L96" s="431" t="s">
        <v>66</v>
      </c>
      <c r="M96" s="431"/>
      <c r="P96" s="57" t="s">
        <v>83</v>
      </c>
      <c r="Q96" s="57" t="s">
        <v>62</v>
      </c>
      <c r="AC96" s="17" t="str">
        <f>+C112</f>
        <v>Invitación Privada
(Meta 2,5%)</v>
      </c>
      <c r="AD96" s="18" t="e">
        <f>+C125</f>
        <v>#REF!</v>
      </c>
      <c r="AE96" s="18" t="e">
        <f>+F125</f>
        <v>#REF!</v>
      </c>
      <c r="AF96" s="18" t="e">
        <f>+AD96-AE96</f>
        <v>#REF!</v>
      </c>
      <c r="AG96" s="24" t="e">
        <f>+AF96/AD96</f>
        <v>#REF!</v>
      </c>
    </row>
    <row r="97" spans="2:33" ht="18" customHeight="1" x14ac:dyDescent="0.25">
      <c r="B97" s="31" t="str">
        <f>+B78</f>
        <v>Jan</v>
      </c>
      <c r="C97" s="404" t="e">
        <f>+GETPIVOTDATA("Suma de Valor     Presupuestado ",AHORRO!$H$6,"Mes fin","ene")</f>
        <v>#REF!</v>
      </c>
      <c r="D97" s="404"/>
      <c r="E97" s="404"/>
      <c r="F97" s="404" t="e">
        <f t="shared" ref="F97" si="152">+C97-I97</f>
        <v>#REF!</v>
      </c>
      <c r="G97" s="404"/>
      <c r="H97" s="404"/>
      <c r="I97" s="404" t="e">
        <f>+GETPIVOTDATA("Suma de Valor Ahorro",AHORRO!$H$6,"Mes fin","ene")</f>
        <v>#REF!</v>
      </c>
      <c r="J97" s="404"/>
      <c r="K97" s="404"/>
      <c r="L97" s="403" t="e">
        <f>IF(C97=0,0,I97/C97)</f>
        <v>#REF!</v>
      </c>
      <c r="M97" s="403"/>
      <c r="O97" s="17" t="str">
        <f>+B97</f>
        <v>Jan</v>
      </c>
      <c r="P97" s="56" t="e">
        <f>+L97</f>
        <v>#REF!</v>
      </c>
      <c r="Q97" s="56">
        <v>0.01</v>
      </c>
      <c r="AC97" s="17" t="str">
        <f>+C130</f>
        <v>Acuerdos Comerciales / Contratos Marco
(Meta 1,5%)</v>
      </c>
      <c r="AD97" s="18" t="e">
        <f>+C143</f>
        <v>#REF!</v>
      </c>
      <c r="AE97" s="18" t="e">
        <f>+F143</f>
        <v>#REF!</v>
      </c>
      <c r="AF97" s="18" t="e">
        <f>+AD97-AE97</f>
        <v>#REF!</v>
      </c>
      <c r="AG97" s="24" t="e">
        <f>+AF97/AD97</f>
        <v>#REF!</v>
      </c>
    </row>
    <row r="98" spans="2:33" ht="18" customHeight="1" x14ac:dyDescent="0.25">
      <c r="B98" s="26" t="str">
        <f>+B79</f>
        <v>feb</v>
      </c>
      <c r="C98" s="420">
        <v>0</v>
      </c>
      <c r="D98" s="420"/>
      <c r="E98" s="420"/>
      <c r="F98" s="420">
        <f>+C98-I98</f>
        <v>0</v>
      </c>
      <c r="G98" s="420"/>
      <c r="H98" s="420"/>
      <c r="I98" s="420">
        <v>0</v>
      </c>
      <c r="J98" s="420"/>
      <c r="K98" s="420"/>
      <c r="L98" s="452">
        <f t="shared" ref="L98:L108" si="153">IF(C98=0,0,I98/C98)</f>
        <v>0</v>
      </c>
      <c r="M98" s="452"/>
      <c r="O98" s="17" t="str">
        <f t="shared" ref="O98" si="154">+B98</f>
        <v>feb</v>
      </c>
      <c r="P98" s="56">
        <f t="shared" ref="P98" si="155">+L98</f>
        <v>0</v>
      </c>
      <c r="Q98" s="56">
        <v>0.01</v>
      </c>
      <c r="R98" s="41"/>
      <c r="U98" s="41"/>
      <c r="V98" s="41"/>
      <c r="W98" s="41"/>
      <c r="AC98" s="17" t="s">
        <v>48</v>
      </c>
      <c r="AD98" s="18" t="e">
        <f>SUM(AD95:AD97)</f>
        <v>#REF!</v>
      </c>
      <c r="AE98" s="18" t="e">
        <f>SUM(AE95:AE97)</f>
        <v>#REF!</v>
      </c>
      <c r="AF98" s="18" t="e">
        <f>SUM(AF95:AF97)</f>
        <v>#REF!</v>
      </c>
      <c r="AG98" s="24" t="e">
        <f>+AF98/AD98</f>
        <v>#REF!</v>
      </c>
    </row>
    <row r="99" spans="2:33" ht="18" customHeight="1" x14ac:dyDescent="0.25">
      <c r="B99" s="31" t="str">
        <f>+B80</f>
        <v>mar</v>
      </c>
      <c r="C99" s="404">
        <v>0</v>
      </c>
      <c r="D99" s="404"/>
      <c r="E99" s="404"/>
      <c r="F99" s="404">
        <f t="shared" ref="F99:F100" si="156">+C99-I99</f>
        <v>0</v>
      </c>
      <c r="G99" s="404"/>
      <c r="H99" s="404"/>
      <c r="I99" s="404">
        <v>0</v>
      </c>
      <c r="J99" s="404"/>
      <c r="K99" s="404"/>
      <c r="L99" s="403">
        <f t="shared" ref="L99:L104" si="157">IF(C99=0,0,I99/C99)</f>
        <v>0</v>
      </c>
      <c r="M99" s="403"/>
      <c r="O99" s="17" t="str">
        <f t="shared" ref="O99" si="158">+B99</f>
        <v>mar</v>
      </c>
      <c r="P99" s="56">
        <f t="shared" ref="P99" si="159">+L99</f>
        <v>0</v>
      </c>
      <c r="Q99" s="56">
        <v>0.01</v>
      </c>
      <c r="R99" s="41"/>
      <c r="U99" s="41"/>
      <c r="V99" s="41"/>
      <c r="W99" s="41"/>
      <c r="AD99" s="18"/>
      <c r="AE99" s="18"/>
      <c r="AF99" s="18"/>
      <c r="AG99" s="24"/>
    </row>
    <row r="100" spans="2:33" ht="18" customHeight="1" x14ac:dyDescent="0.25">
      <c r="B100" s="26" t="s">
        <v>1767</v>
      </c>
      <c r="C100" s="420" t="e">
        <f>+GETPIVOTDATA("Suma de Valor     Presupuestado ",AHORRO!$H$6,"Mes fin","abr")</f>
        <v>#REF!</v>
      </c>
      <c r="D100" s="420"/>
      <c r="E100" s="420"/>
      <c r="F100" s="420" t="e">
        <f t="shared" si="156"/>
        <v>#REF!</v>
      </c>
      <c r="G100" s="420"/>
      <c r="H100" s="420"/>
      <c r="I100" s="420" t="e">
        <f>+GETPIVOTDATA("Suma de Valor Ahorro",AHORRO!$H$6,"Mes fin","abr")</f>
        <v>#REF!</v>
      </c>
      <c r="J100" s="420"/>
      <c r="K100" s="420"/>
      <c r="L100" s="452" t="e">
        <f t="shared" si="157"/>
        <v>#REF!</v>
      </c>
      <c r="M100" s="452"/>
      <c r="O100" s="17" t="str">
        <f t="shared" ref="O100" si="160">+B100</f>
        <v>abr</v>
      </c>
      <c r="P100" s="56" t="e">
        <f t="shared" ref="P100" si="161">+L100</f>
        <v>#REF!</v>
      </c>
      <c r="Q100" s="56">
        <v>0.01</v>
      </c>
      <c r="R100" s="41"/>
      <c r="U100" s="41"/>
      <c r="V100" s="41"/>
      <c r="W100" s="41"/>
      <c r="AD100" s="18"/>
      <c r="AE100" s="18"/>
      <c r="AF100" s="18"/>
      <c r="AG100" s="24"/>
    </row>
    <row r="101" spans="2:33" ht="18" customHeight="1" x14ac:dyDescent="0.25">
      <c r="B101" s="31" t="str">
        <f t="shared" ref="B101:B107" si="162">+B82</f>
        <v>may</v>
      </c>
      <c r="C101" s="402">
        <f>+GETPIVOTDATA("Suma de Valor     Presupuestado ",AHORRO!$H$6,"Mes fin","may")</f>
        <v>5758244173</v>
      </c>
      <c r="D101" s="402"/>
      <c r="E101" s="402"/>
      <c r="F101" s="402">
        <f t="shared" ref="F101:F102" si="163">+C101-I101</f>
        <v>5708556704</v>
      </c>
      <c r="G101" s="402"/>
      <c r="H101" s="402"/>
      <c r="I101" s="402">
        <f>+GETPIVOTDATA("Suma de Valor Ahorro",AHORRO!$H$6,"Mes fin","may")</f>
        <v>49687469</v>
      </c>
      <c r="J101" s="402"/>
      <c r="K101" s="402"/>
      <c r="L101" s="403">
        <f t="shared" si="157"/>
        <v>8.6289270665146564E-3</v>
      </c>
      <c r="M101" s="403"/>
      <c r="O101" s="17" t="str">
        <f t="shared" ref="O101" si="164">+B101</f>
        <v>may</v>
      </c>
      <c r="P101" s="56">
        <f t="shared" ref="P101" si="165">+L101</f>
        <v>8.6289270665146564E-3</v>
      </c>
      <c r="Q101" s="56">
        <v>0.01</v>
      </c>
      <c r="R101" s="41"/>
      <c r="U101" s="41"/>
      <c r="V101" s="41"/>
      <c r="W101" s="41"/>
      <c r="AD101" s="18"/>
      <c r="AE101" s="18"/>
      <c r="AF101" s="18"/>
      <c r="AG101" s="24"/>
    </row>
    <row r="102" spans="2:33" ht="18" customHeight="1" x14ac:dyDescent="0.25">
      <c r="B102" s="26" t="str">
        <f t="shared" si="162"/>
        <v>jun</v>
      </c>
      <c r="C102" s="420">
        <f>+GETPIVOTDATA("Suma de Valor     Presupuestado ",AHORRO!$H$6,"Mes fin","jun")</f>
        <v>1714594442</v>
      </c>
      <c r="D102" s="420"/>
      <c r="E102" s="420"/>
      <c r="F102" s="420">
        <f t="shared" si="163"/>
        <v>1679921873</v>
      </c>
      <c r="G102" s="420"/>
      <c r="H102" s="420"/>
      <c r="I102" s="420">
        <f>+GETPIVOTDATA("Suma de Valor Ahorro",AHORRO!$H$6,"Mes fin","jun")</f>
        <v>34672569</v>
      </c>
      <c r="J102" s="420"/>
      <c r="K102" s="420"/>
      <c r="L102" s="498">
        <f t="shared" si="157"/>
        <v>2.0222023442205934E-2</v>
      </c>
      <c r="M102" s="499"/>
      <c r="O102" s="17" t="str">
        <f t="shared" ref="O102" si="166">+B102</f>
        <v>jun</v>
      </c>
      <c r="P102" s="56">
        <f t="shared" ref="P102" si="167">+L102</f>
        <v>2.0222023442205934E-2</v>
      </c>
      <c r="Q102" s="56">
        <v>0.01</v>
      </c>
      <c r="R102" s="41"/>
      <c r="U102" s="41"/>
      <c r="V102" s="41"/>
      <c r="W102" s="41"/>
      <c r="AD102" s="18"/>
      <c r="AE102" s="18"/>
      <c r="AF102" s="18"/>
      <c r="AG102" s="24"/>
    </row>
    <row r="103" spans="2:33" ht="18" customHeight="1" x14ac:dyDescent="0.25">
      <c r="B103" s="31" t="str">
        <f t="shared" si="162"/>
        <v>jul</v>
      </c>
      <c r="C103" s="402">
        <f>+GETPIVOTDATA("Suma de Valor     Presupuestado ",AHORRO!$H$6,"Mes fin","JUL")</f>
        <v>10365441416</v>
      </c>
      <c r="D103" s="402"/>
      <c r="E103" s="402"/>
      <c r="F103" s="402">
        <f t="shared" ref="F103:F104" si="168">+C103-I103</f>
        <v>10288530721</v>
      </c>
      <c r="G103" s="402"/>
      <c r="H103" s="402"/>
      <c r="I103" s="402">
        <f>+GETPIVOTDATA("Suma de Valor Ahorro",AHORRO!$H$6,"Mes fin","JUL")</f>
        <v>76910695</v>
      </c>
      <c r="J103" s="402"/>
      <c r="K103" s="402"/>
      <c r="L103" s="403">
        <f t="shared" si="157"/>
        <v>7.4199150729154055E-3</v>
      </c>
      <c r="M103" s="403"/>
      <c r="O103" s="17" t="str">
        <f t="shared" ref="O103" si="169">+B103</f>
        <v>jul</v>
      </c>
      <c r="P103" s="56">
        <f t="shared" ref="P103" si="170">+L103</f>
        <v>7.4199150729154055E-3</v>
      </c>
      <c r="Q103" s="56">
        <v>0.01</v>
      </c>
      <c r="R103" s="41"/>
      <c r="U103" s="41"/>
      <c r="V103" s="41"/>
      <c r="W103" s="41"/>
      <c r="AD103" s="18"/>
      <c r="AE103" s="18"/>
      <c r="AF103" s="18"/>
      <c r="AG103" s="24"/>
    </row>
    <row r="104" spans="2:33" ht="18" customHeight="1" x14ac:dyDescent="0.25">
      <c r="B104" s="26" t="str">
        <f t="shared" si="162"/>
        <v>ago</v>
      </c>
      <c r="C104" s="420" t="e">
        <f>+GETPIVOTDATA("Suma de Valor     Presupuestado ",AHORRO!$H$6,"Mes fin","ago")</f>
        <v>#REF!</v>
      </c>
      <c r="D104" s="420"/>
      <c r="E104" s="420"/>
      <c r="F104" s="420" t="e">
        <f t="shared" si="168"/>
        <v>#REF!</v>
      </c>
      <c r="G104" s="420"/>
      <c r="H104" s="420"/>
      <c r="I104" s="420" t="e">
        <f>+GETPIVOTDATA("Suma de Valor Ahorro",AHORRO!$H$6,"Mes fin","ago")</f>
        <v>#REF!</v>
      </c>
      <c r="J104" s="420"/>
      <c r="K104" s="420"/>
      <c r="L104" s="498" t="e">
        <f t="shared" si="157"/>
        <v>#REF!</v>
      </c>
      <c r="M104" s="499"/>
      <c r="O104" s="17" t="str">
        <f t="shared" ref="O104" si="171">+B104</f>
        <v>ago</v>
      </c>
      <c r="P104" s="56" t="e">
        <f t="shared" ref="P104" si="172">+L104</f>
        <v>#REF!</v>
      </c>
      <c r="Q104" s="56">
        <v>0.01</v>
      </c>
      <c r="R104" s="41"/>
      <c r="U104" s="41"/>
      <c r="V104" s="41"/>
      <c r="W104" s="41"/>
      <c r="AD104" s="18"/>
      <c r="AE104" s="18"/>
      <c r="AF104" s="18"/>
      <c r="AG104" s="24"/>
    </row>
    <row r="105" spans="2:33" ht="18" customHeight="1" x14ac:dyDescent="0.25">
      <c r="B105" s="31" t="str">
        <f t="shared" si="162"/>
        <v>sep</v>
      </c>
      <c r="C105" s="402">
        <f>+GETPIVOTDATA("Suma de Valor     Presupuestado ",AHORRO!$H$6,"Mes fin","sep")</f>
        <v>14058886814</v>
      </c>
      <c r="D105" s="402"/>
      <c r="E105" s="402"/>
      <c r="F105" s="402">
        <f t="shared" ref="F105:F106" si="173">+C105-I105</f>
        <v>14017098275</v>
      </c>
      <c r="G105" s="402"/>
      <c r="H105" s="402"/>
      <c r="I105" s="402">
        <f>+GETPIVOTDATA("Suma de Valor Ahorro",AHORRO!$H$6,"Mes fin","sep")</f>
        <v>41788539</v>
      </c>
      <c r="J105" s="402"/>
      <c r="K105" s="402"/>
      <c r="L105" s="403">
        <f t="shared" ref="L105:L106" si="174">IF(C105=0,0,I105/C105)</f>
        <v>2.9723931597760993E-3</v>
      </c>
      <c r="M105" s="403"/>
      <c r="O105" s="17" t="str">
        <f t="shared" ref="O105" si="175">+B105</f>
        <v>sep</v>
      </c>
      <c r="P105" s="56">
        <f t="shared" ref="P105" si="176">+L105</f>
        <v>2.9723931597760993E-3</v>
      </c>
      <c r="Q105" s="56">
        <v>0.01</v>
      </c>
      <c r="R105" s="41"/>
      <c r="U105" s="41"/>
      <c r="V105" s="41"/>
      <c r="W105" s="41"/>
      <c r="AD105" s="18"/>
      <c r="AE105" s="18"/>
      <c r="AF105" s="18"/>
      <c r="AG105" s="24"/>
    </row>
    <row r="106" spans="2:33" ht="18" customHeight="1" x14ac:dyDescent="0.25">
      <c r="B106" s="26" t="str">
        <f t="shared" si="162"/>
        <v>oct</v>
      </c>
      <c r="C106" s="420">
        <v>0</v>
      </c>
      <c r="D106" s="420"/>
      <c r="E106" s="420"/>
      <c r="F106" s="420">
        <f t="shared" si="173"/>
        <v>0</v>
      </c>
      <c r="G106" s="420"/>
      <c r="H106" s="420"/>
      <c r="I106" s="420">
        <v>0</v>
      </c>
      <c r="J106" s="420"/>
      <c r="K106" s="420"/>
      <c r="L106" s="498">
        <f t="shared" si="174"/>
        <v>0</v>
      </c>
      <c r="M106" s="499"/>
      <c r="O106" s="17" t="str">
        <f t="shared" ref="O106" si="177">+B106</f>
        <v>oct</v>
      </c>
      <c r="P106" s="56">
        <f t="shared" ref="P106" si="178">+L106</f>
        <v>0</v>
      </c>
      <c r="Q106" s="56">
        <v>0.01</v>
      </c>
      <c r="R106" s="41"/>
      <c r="U106" s="41"/>
      <c r="V106" s="41"/>
      <c r="W106" s="41"/>
      <c r="AD106" s="18"/>
      <c r="AE106" s="18"/>
      <c r="AF106" s="18"/>
      <c r="AG106" s="24"/>
    </row>
    <row r="107" spans="2:33" ht="18" customHeight="1" x14ac:dyDescent="0.25">
      <c r="B107" s="31" t="str">
        <f t="shared" si="162"/>
        <v>nov</v>
      </c>
      <c r="C107" s="402">
        <v>0</v>
      </c>
      <c r="D107" s="402"/>
      <c r="E107" s="402"/>
      <c r="F107" s="402">
        <f t="shared" ref="F107" si="179">+C107-I107</f>
        <v>0</v>
      </c>
      <c r="G107" s="402"/>
      <c r="H107" s="402"/>
      <c r="I107" s="402">
        <v>0</v>
      </c>
      <c r="J107" s="402"/>
      <c r="K107" s="402"/>
      <c r="L107" s="403">
        <f t="shared" ref="L107" si="180">IF(C107=0,0,I107/C107)</f>
        <v>0</v>
      </c>
      <c r="M107" s="403"/>
      <c r="O107" s="17" t="str">
        <f t="shared" ref="O107" si="181">+B107</f>
        <v>nov</v>
      </c>
      <c r="P107" s="56">
        <f t="shared" ref="P107" si="182">+L107</f>
        <v>0</v>
      </c>
      <c r="Q107" s="56">
        <v>0.01</v>
      </c>
      <c r="R107" s="41"/>
      <c r="U107" s="41"/>
      <c r="V107" s="41"/>
      <c r="W107" s="41"/>
      <c r="AD107" s="18"/>
      <c r="AE107" s="18"/>
      <c r="AF107" s="18"/>
      <c r="AG107" s="24"/>
    </row>
    <row r="108" spans="2:33" ht="18" customHeight="1" x14ac:dyDescent="0.25">
      <c r="B108" s="34" t="s">
        <v>49</v>
      </c>
      <c r="C108" s="432" t="e">
        <f>SUM(C97:D107)</f>
        <v>#REF!</v>
      </c>
      <c r="D108" s="432"/>
      <c r="E108" s="432"/>
      <c r="F108" s="432" t="e">
        <f t="shared" ref="F108" si="183">SUM(F97:G107)</f>
        <v>#REF!</v>
      </c>
      <c r="G108" s="432"/>
      <c r="H108" s="432"/>
      <c r="I108" s="432" t="e">
        <f t="shared" ref="I108" si="184">SUM(I97:J107)</f>
        <v>#REF!</v>
      </c>
      <c r="J108" s="432"/>
      <c r="K108" s="432"/>
      <c r="L108" s="433" t="e">
        <f t="shared" si="153"/>
        <v>#REF!</v>
      </c>
      <c r="M108" s="433"/>
    </row>
    <row r="109" spans="2:33" ht="18" customHeight="1" x14ac:dyDescent="0.25">
      <c r="B109" s="30" t="s">
        <v>62</v>
      </c>
      <c r="C109" s="453">
        <v>0.01</v>
      </c>
      <c r="D109" s="454"/>
      <c r="E109" s="454"/>
      <c r="F109" s="454"/>
      <c r="G109" s="454"/>
      <c r="H109" s="454"/>
      <c r="I109" s="454"/>
      <c r="J109" s="454"/>
      <c r="K109" s="454"/>
      <c r="L109" s="454"/>
      <c r="M109" s="455"/>
    </row>
    <row r="110" spans="2:33" ht="18" customHeight="1" x14ac:dyDescent="0.25">
      <c r="B110" s="34" t="s">
        <v>63</v>
      </c>
      <c r="C110" s="460" t="e">
        <f>+L108/C109</f>
        <v>#REF!</v>
      </c>
      <c r="D110" s="461"/>
      <c r="E110" s="461"/>
      <c r="F110" s="461"/>
      <c r="G110" s="461"/>
      <c r="H110" s="461"/>
      <c r="I110" s="461"/>
      <c r="J110" s="461"/>
      <c r="K110" s="461"/>
      <c r="L110" s="461"/>
      <c r="M110" s="462"/>
    </row>
    <row r="112" spans="2:33" ht="30" customHeight="1" x14ac:dyDescent="0.25">
      <c r="B112" s="410" t="s">
        <v>69</v>
      </c>
      <c r="C112" s="425" t="s">
        <v>3999</v>
      </c>
      <c r="D112" s="426"/>
      <c r="E112" s="426"/>
      <c r="F112" s="426"/>
      <c r="G112" s="426"/>
      <c r="H112" s="426"/>
      <c r="I112" s="426"/>
      <c r="J112" s="426"/>
      <c r="K112" s="426"/>
      <c r="L112" s="426"/>
      <c r="M112" s="426"/>
    </row>
    <row r="113" spans="2:17" ht="18" customHeight="1" x14ac:dyDescent="0.25">
      <c r="B113" s="410"/>
      <c r="C113" s="427" t="s">
        <v>67</v>
      </c>
      <c r="D113" s="428"/>
      <c r="E113" s="428"/>
      <c r="F113" s="427" t="s">
        <v>65</v>
      </c>
      <c r="G113" s="428"/>
      <c r="H113" s="428"/>
      <c r="I113" s="429" t="s">
        <v>68</v>
      </c>
      <c r="J113" s="430"/>
      <c r="K113" s="430"/>
      <c r="L113" s="431" t="s">
        <v>66</v>
      </c>
      <c r="M113" s="431"/>
    </row>
    <row r="114" spans="2:17" ht="18" customHeight="1" x14ac:dyDescent="0.25">
      <c r="B114" s="31" t="str">
        <f>+AHORRO!A30</f>
        <v>Jan</v>
      </c>
      <c r="C114" s="404" t="e">
        <f>+GETPIVOTDATA("Suma de Valor     Presupuestado ",AHORRO!$A$29,"Mes fin","ene")</f>
        <v>#REF!</v>
      </c>
      <c r="D114" s="404"/>
      <c r="E114" s="404"/>
      <c r="F114" s="402" t="e">
        <f t="shared" ref="F114:F115" si="185">+C114-I114</f>
        <v>#REF!</v>
      </c>
      <c r="G114" s="402"/>
      <c r="H114" s="402"/>
      <c r="I114" s="402" t="e">
        <f>+GETPIVOTDATA("Suma de Valor Ahorro",AHORRO!$A$29,"Mes fin","ene")</f>
        <v>#REF!</v>
      </c>
      <c r="J114" s="402"/>
      <c r="K114" s="402"/>
      <c r="L114" s="403" t="e">
        <f>IF(C114=0,0,I114/C114)</f>
        <v>#REF!</v>
      </c>
      <c r="M114" s="403"/>
      <c r="O114" s="17" t="str">
        <f>+B114</f>
        <v>Jan</v>
      </c>
      <c r="P114" s="56" t="e">
        <f>+L114</f>
        <v>#REF!</v>
      </c>
      <c r="Q114" s="56">
        <v>2.5000000000000001E-2</v>
      </c>
    </row>
    <row r="115" spans="2:17" ht="18" customHeight="1" x14ac:dyDescent="0.25">
      <c r="B115" s="26" t="s">
        <v>1297</v>
      </c>
      <c r="C115" s="420">
        <v>0</v>
      </c>
      <c r="D115" s="420"/>
      <c r="E115" s="420"/>
      <c r="F115" s="420">
        <f t="shared" si="185"/>
        <v>0</v>
      </c>
      <c r="G115" s="420"/>
      <c r="H115" s="420"/>
      <c r="I115" s="420">
        <v>0</v>
      </c>
      <c r="J115" s="420"/>
      <c r="K115" s="420"/>
      <c r="L115" s="452">
        <f t="shared" ref="L115:L125" si="186">IF(C115=0,0,I115/C115)</f>
        <v>0</v>
      </c>
      <c r="M115" s="452"/>
      <c r="O115" s="17" t="str">
        <f t="shared" ref="O115" si="187">+B115</f>
        <v>feb</v>
      </c>
      <c r="P115" s="56">
        <f t="shared" ref="P115" si="188">+L115</f>
        <v>0</v>
      </c>
      <c r="Q115" s="56">
        <v>2.5000000000000001E-2</v>
      </c>
    </row>
    <row r="116" spans="2:17" ht="18" customHeight="1" x14ac:dyDescent="0.25">
      <c r="B116" s="31" t="s">
        <v>1558</v>
      </c>
      <c r="C116" s="404">
        <v>0</v>
      </c>
      <c r="D116" s="404"/>
      <c r="E116" s="404"/>
      <c r="F116" s="402">
        <f t="shared" ref="F116" si="189">+C116-I116</f>
        <v>0</v>
      </c>
      <c r="G116" s="402"/>
      <c r="H116" s="402"/>
      <c r="I116" s="402">
        <v>0</v>
      </c>
      <c r="J116" s="402"/>
      <c r="K116" s="402"/>
      <c r="L116" s="403">
        <f t="shared" ref="L116:L121" si="190">IF(C116=0,0,I116/C116)</f>
        <v>0</v>
      </c>
      <c r="M116" s="403"/>
      <c r="O116" s="17" t="str">
        <f t="shared" ref="O116" si="191">+B116</f>
        <v>mar</v>
      </c>
      <c r="P116" s="56">
        <f t="shared" ref="P116" si="192">+L116</f>
        <v>0</v>
      </c>
      <c r="Q116" s="56">
        <v>2.5000000000000001E-2</v>
      </c>
    </row>
    <row r="117" spans="2:17" ht="18" customHeight="1" x14ac:dyDescent="0.25">
      <c r="B117" s="26" t="s">
        <v>1767</v>
      </c>
      <c r="C117" s="420">
        <v>0</v>
      </c>
      <c r="D117" s="420"/>
      <c r="E117" s="420"/>
      <c r="F117" s="420">
        <f t="shared" ref="F117:F118" si="193">+C117-I117</f>
        <v>0</v>
      </c>
      <c r="G117" s="420"/>
      <c r="H117" s="420"/>
      <c r="I117" s="420">
        <v>0</v>
      </c>
      <c r="J117" s="420"/>
      <c r="K117" s="420"/>
      <c r="L117" s="452">
        <f t="shared" si="190"/>
        <v>0</v>
      </c>
      <c r="M117" s="452"/>
      <c r="O117" s="17" t="str">
        <f t="shared" ref="O117" si="194">+B117</f>
        <v>abr</v>
      </c>
      <c r="P117" s="56">
        <f t="shared" ref="P117" si="195">+L117</f>
        <v>0</v>
      </c>
      <c r="Q117" s="56">
        <v>2.5000000000000001E-2</v>
      </c>
    </row>
    <row r="118" spans="2:17" ht="18" customHeight="1" x14ac:dyDescent="0.25">
      <c r="B118" s="31" t="s">
        <v>1788</v>
      </c>
      <c r="C118" s="404">
        <v>0</v>
      </c>
      <c r="D118" s="404"/>
      <c r="E118" s="404"/>
      <c r="F118" s="402">
        <f t="shared" si="193"/>
        <v>0</v>
      </c>
      <c r="G118" s="402"/>
      <c r="H118" s="402"/>
      <c r="I118" s="402">
        <v>0</v>
      </c>
      <c r="J118" s="402"/>
      <c r="K118" s="402"/>
      <c r="L118" s="403">
        <f t="shared" si="190"/>
        <v>0</v>
      </c>
      <c r="M118" s="403"/>
      <c r="O118" s="17" t="str">
        <f t="shared" ref="O118" si="196">+B118</f>
        <v>may</v>
      </c>
      <c r="P118" s="56">
        <f t="shared" ref="P118" si="197">+L118</f>
        <v>0</v>
      </c>
      <c r="Q118" s="56">
        <v>2.5000000000000001E-2</v>
      </c>
    </row>
    <row r="119" spans="2:17" ht="18" customHeight="1" x14ac:dyDescent="0.25">
      <c r="B119" s="26" t="s">
        <v>2371</v>
      </c>
      <c r="C119" s="420">
        <v>0</v>
      </c>
      <c r="D119" s="420"/>
      <c r="E119" s="420"/>
      <c r="F119" s="420">
        <f t="shared" ref="F119:F120" si="198">+C119-I119</f>
        <v>0</v>
      </c>
      <c r="G119" s="420"/>
      <c r="H119" s="420"/>
      <c r="I119" s="420">
        <v>0</v>
      </c>
      <c r="J119" s="420"/>
      <c r="K119" s="420"/>
      <c r="L119" s="452">
        <f t="shared" si="190"/>
        <v>0</v>
      </c>
      <c r="M119" s="452"/>
      <c r="O119" s="17" t="str">
        <f t="shared" ref="O119" si="199">+B119</f>
        <v>jun</v>
      </c>
      <c r="P119" s="56">
        <f t="shared" ref="P119" si="200">+L119</f>
        <v>0</v>
      </c>
      <c r="Q119" s="56">
        <v>2.5000000000000001E-2</v>
      </c>
    </row>
    <row r="120" spans="2:17" ht="18" customHeight="1" x14ac:dyDescent="0.25">
      <c r="B120" s="31" t="s">
        <v>3153</v>
      </c>
      <c r="C120" s="404">
        <f>+GETPIVOTDATA("Suma de Valor     Presupuestado ",AHORRO!$A$29,"Mes fin","jul")</f>
        <v>1875582472</v>
      </c>
      <c r="D120" s="404"/>
      <c r="E120" s="404"/>
      <c r="F120" s="402">
        <f t="shared" si="198"/>
        <v>1770679976</v>
      </c>
      <c r="G120" s="402"/>
      <c r="H120" s="402"/>
      <c r="I120" s="402">
        <f>+GETPIVOTDATA("Suma de Valor Ahorro",AHORRO!$A$29,"Mes fin","jul")</f>
        <v>104902496</v>
      </c>
      <c r="J120" s="402"/>
      <c r="K120" s="402"/>
      <c r="L120" s="403">
        <f t="shared" si="190"/>
        <v>5.5930622921709625E-2</v>
      </c>
      <c r="M120" s="403"/>
      <c r="O120" s="17" t="str">
        <f t="shared" ref="O120" si="201">+B120</f>
        <v>jul</v>
      </c>
      <c r="P120" s="56">
        <f t="shared" ref="P120" si="202">+L120</f>
        <v>5.5930622921709625E-2</v>
      </c>
      <c r="Q120" s="56">
        <v>2.5000000000000001E-2</v>
      </c>
    </row>
    <row r="121" spans="2:17" ht="18" customHeight="1" x14ac:dyDescent="0.25">
      <c r="B121" s="26" t="s">
        <v>3393</v>
      </c>
      <c r="C121" s="416" t="e">
        <f>+GETPIVOTDATA("Suma de Valor     Presupuestado ",AHORRO!$A$29,"Mes fin","ago")</f>
        <v>#REF!</v>
      </c>
      <c r="D121" s="417"/>
      <c r="E121" s="418"/>
      <c r="F121" s="416" t="e">
        <f t="shared" ref="F121:F122" si="203">+C121-I121</f>
        <v>#REF!</v>
      </c>
      <c r="G121" s="417"/>
      <c r="H121" s="418"/>
      <c r="I121" s="416" t="e">
        <f>+GETPIVOTDATA("Suma de Valor Ahorro",AHORRO!$A$29,"Mes fin","ago")</f>
        <v>#REF!</v>
      </c>
      <c r="J121" s="417"/>
      <c r="K121" s="418"/>
      <c r="L121" s="498" t="e">
        <f t="shared" si="190"/>
        <v>#REF!</v>
      </c>
      <c r="M121" s="499"/>
      <c r="O121" s="17" t="str">
        <f t="shared" ref="O121" si="204">+B121</f>
        <v>ago</v>
      </c>
      <c r="P121" s="56" t="e">
        <f t="shared" ref="P121" si="205">+L121</f>
        <v>#REF!</v>
      </c>
      <c r="Q121" s="56">
        <v>2.5000000000000001E-2</v>
      </c>
    </row>
    <row r="122" spans="2:17" ht="18" customHeight="1" x14ac:dyDescent="0.25">
      <c r="B122" s="31" t="s">
        <v>3891</v>
      </c>
      <c r="C122" s="404">
        <f>+GETPIVOTDATA("Suma de Valor     Presupuestado ",AHORRO!$A$29,"Mes fin","sep")</f>
        <v>9154944132</v>
      </c>
      <c r="D122" s="404"/>
      <c r="E122" s="404"/>
      <c r="F122" s="402">
        <f t="shared" si="203"/>
        <v>8718178444</v>
      </c>
      <c r="G122" s="402"/>
      <c r="H122" s="402"/>
      <c r="I122" s="402">
        <f>+GETPIVOTDATA("Suma de Valor Ahorro",AHORRO!$A$29,"Mes fin","sep")</f>
        <v>436765688</v>
      </c>
      <c r="J122" s="402"/>
      <c r="K122" s="402"/>
      <c r="L122" s="403">
        <f t="shared" ref="L122:L123" si="206">IF(C122=0,0,I122/C122)</f>
        <v>4.7708176227240794E-2</v>
      </c>
      <c r="M122" s="403"/>
      <c r="O122" s="17" t="str">
        <f t="shared" ref="O122" si="207">+B122</f>
        <v>sep</v>
      </c>
      <c r="P122" s="56">
        <f t="shared" ref="P122" si="208">+L122</f>
        <v>4.7708176227240794E-2</v>
      </c>
      <c r="Q122" s="56">
        <v>2.5000000000000001E-2</v>
      </c>
    </row>
    <row r="123" spans="2:17" ht="18" customHeight="1" x14ac:dyDescent="0.25">
      <c r="B123" s="26" t="s">
        <v>3911</v>
      </c>
      <c r="C123" s="416">
        <f>+GETPIVOTDATA("Suma de Valor     Presupuestado ",AHORRO!$A$29,"Mes fin","oct")</f>
        <v>466065728</v>
      </c>
      <c r="D123" s="417"/>
      <c r="E123" s="418"/>
      <c r="F123" s="416">
        <f t="shared" ref="F123:F124" si="209">+C123-I123</f>
        <v>464650152</v>
      </c>
      <c r="G123" s="417"/>
      <c r="H123" s="418"/>
      <c r="I123" s="416">
        <f>+GETPIVOTDATA("Suma de Valor Ahorro",AHORRO!$A$29,"Mes fin","oct")</f>
        <v>1415576</v>
      </c>
      <c r="J123" s="417"/>
      <c r="K123" s="418"/>
      <c r="L123" s="498">
        <f t="shared" si="206"/>
        <v>3.0372883371505917E-3</v>
      </c>
      <c r="M123" s="499"/>
      <c r="O123" s="17" t="str">
        <f t="shared" ref="O123" si="210">+B123</f>
        <v>oct</v>
      </c>
      <c r="P123" s="56">
        <f t="shared" ref="P123" si="211">+L123</f>
        <v>3.0372883371505917E-3</v>
      </c>
      <c r="Q123" s="56">
        <v>2.5000000000000001E-2</v>
      </c>
    </row>
    <row r="124" spans="2:17" ht="18" customHeight="1" x14ac:dyDescent="0.25">
      <c r="B124" s="31" t="s">
        <v>4233</v>
      </c>
      <c r="C124" s="404">
        <f>+GETPIVOTDATA("Suma de Valor     Presupuestado ",AHORRO!$A$29,"Mes fin","nov")</f>
        <v>272672503</v>
      </c>
      <c r="D124" s="404"/>
      <c r="E124" s="404"/>
      <c r="F124" s="402">
        <f t="shared" si="209"/>
        <v>268619120</v>
      </c>
      <c r="G124" s="402"/>
      <c r="H124" s="402"/>
      <c r="I124" s="402">
        <f>+GETPIVOTDATA("Suma de Valor Ahorro",AHORRO!$A$29,"Mes fin","nov")</f>
        <v>4053383</v>
      </c>
      <c r="J124" s="402"/>
      <c r="K124" s="402"/>
      <c r="L124" s="403">
        <f t="shared" ref="L124" si="212">IF(C124=0,0,I124/C124)</f>
        <v>1.4865389635565857E-2</v>
      </c>
      <c r="M124" s="403"/>
      <c r="O124" s="17" t="str">
        <f t="shared" ref="O124" si="213">+B124</f>
        <v>nov</v>
      </c>
      <c r="P124" s="56">
        <f t="shared" ref="P124" si="214">+L124</f>
        <v>1.4865389635565857E-2</v>
      </c>
      <c r="Q124" s="56">
        <v>2.5000000000000001E-2</v>
      </c>
    </row>
    <row r="125" spans="2:17" ht="18" customHeight="1" x14ac:dyDescent="0.25">
      <c r="B125" s="34" t="s">
        <v>49</v>
      </c>
      <c r="C125" s="432" t="e">
        <f>SUM(C114:D124)</f>
        <v>#REF!</v>
      </c>
      <c r="D125" s="432"/>
      <c r="E125" s="432"/>
      <c r="F125" s="432" t="e">
        <f>SUM(F114:G124)</f>
        <v>#REF!</v>
      </c>
      <c r="G125" s="432"/>
      <c r="H125" s="432"/>
      <c r="I125" s="432" t="e">
        <f>SUM(I114:J124)</f>
        <v>#REF!</v>
      </c>
      <c r="J125" s="432"/>
      <c r="K125" s="432"/>
      <c r="L125" s="433" t="e">
        <f t="shared" si="186"/>
        <v>#REF!</v>
      </c>
      <c r="M125" s="433"/>
    </row>
    <row r="126" spans="2:17" ht="18" customHeight="1" x14ac:dyDescent="0.25">
      <c r="B126" s="30" t="s">
        <v>62</v>
      </c>
      <c r="C126" s="453">
        <v>2.5000000000000001E-2</v>
      </c>
      <c r="D126" s="454"/>
      <c r="E126" s="454"/>
      <c r="F126" s="454"/>
      <c r="G126" s="454"/>
      <c r="H126" s="454"/>
      <c r="I126" s="454"/>
      <c r="J126" s="454"/>
      <c r="K126" s="454"/>
      <c r="L126" s="454"/>
      <c r="M126" s="455"/>
    </row>
    <row r="127" spans="2:17" ht="18" customHeight="1" x14ac:dyDescent="0.25">
      <c r="B127" s="34" t="s">
        <v>63</v>
      </c>
      <c r="C127" s="501" t="e">
        <f>+L125/C126</f>
        <v>#REF!</v>
      </c>
      <c r="D127" s="502"/>
      <c r="E127" s="502"/>
      <c r="F127" s="502"/>
      <c r="G127" s="502"/>
      <c r="H127" s="502"/>
      <c r="I127" s="502"/>
      <c r="J127" s="502"/>
      <c r="K127" s="502"/>
      <c r="L127" s="502"/>
      <c r="M127" s="503"/>
    </row>
    <row r="128" spans="2:17" ht="18" customHeight="1" x14ac:dyDescent="0.25">
      <c r="B128" s="506" t="s">
        <v>3993</v>
      </c>
      <c r="C128" s="506"/>
      <c r="D128" s="506"/>
      <c r="E128" s="506"/>
      <c r="F128" s="506"/>
      <c r="G128" s="506"/>
      <c r="H128" s="506"/>
      <c r="I128" s="506"/>
      <c r="J128" s="506"/>
      <c r="K128" s="506"/>
      <c r="L128" s="506"/>
      <c r="M128" s="506"/>
    </row>
    <row r="130" spans="2:17" ht="30" customHeight="1" x14ac:dyDescent="0.25">
      <c r="B130" s="410" t="s">
        <v>69</v>
      </c>
      <c r="C130" s="425" t="s">
        <v>4000</v>
      </c>
      <c r="D130" s="426"/>
      <c r="E130" s="426"/>
      <c r="F130" s="426"/>
      <c r="G130" s="426"/>
      <c r="H130" s="426"/>
      <c r="I130" s="426"/>
      <c r="J130" s="426"/>
      <c r="K130" s="426"/>
      <c r="L130" s="426"/>
      <c r="M130" s="426"/>
    </row>
    <row r="131" spans="2:17" ht="18" customHeight="1" x14ac:dyDescent="0.25">
      <c r="B131" s="410"/>
      <c r="C131" s="427" t="s">
        <v>67</v>
      </c>
      <c r="D131" s="428"/>
      <c r="E131" s="428"/>
      <c r="F131" s="427" t="s">
        <v>65</v>
      </c>
      <c r="G131" s="428"/>
      <c r="H131" s="428"/>
      <c r="I131" s="429" t="s">
        <v>68</v>
      </c>
      <c r="J131" s="430"/>
      <c r="K131" s="430"/>
      <c r="L131" s="431" t="s">
        <v>66</v>
      </c>
      <c r="M131" s="431"/>
    </row>
    <row r="132" spans="2:17" ht="18" customHeight="1" x14ac:dyDescent="0.25">
      <c r="B132" s="31" t="str">
        <f t="shared" ref="B132:B142" si="215">+B114</f>
        <v>Jan</v>
      </c>
      <c r="C132" s="404">
        <v>0</v>
      </c>
      <c r="D132" s="404"/>
      <c r="E132" s="404"/>
      <c r="F132" s="404">
        <f t="shared" ref="F132:F133" si="216">+C132-I132</f>
        <v>0</v>
      </c>
      <c r="G132" s="404"/>
      <c r="H132" s="404"/>
      <c r="I132" s="404">
        <v>0</v>
      </c>
      <c r="J132" s="404"/>
      <c r="K132" s="404"/>
      <c r="L132" s="500">
        <f>IF(C132=0,0,I132/C132)</f>
        <v>0</v>
      </c>
      <c r="M132" s="500"/>
      <c r="O132" s="17" t="str">
        <f>+B132</f>
        <v>Jan</v>
      </c>
      <c r="P132" s="56">
        <f>+L132</f>
        <v>0</v>
      </c>
      <c r="Q132" s="56">
        <v>1.4999999999999999E-2</v>
      </c>
    </row>
    <row r="133" spans="2:17" ht="18" customHeight="1" x14ac:dyDescent="0.25">
      <c r="B133" s="26" t="str">
        <f t="shared" si="215"/>
        <v>feb</v>
      </c>
      <c r="C133" s="420">
        <f>+GETPIVOTDATA("Suma de Valor     Presupuestado ",AHORRO!$H$29,"Mes fin","feb")</f>
        <v>3922673240</v>
      </c>
      <c r="D133" s="420"/>
      <c r="E133" s="420"/>
      <c r="F133" s="420">
        <f t="shared" si="216"/>
        <v>3824988891</v>
      </c>
      <c r="G133" s="420"/>
      <c r="H133" s="420"/>
      <c r="I133" s="420">
        <f>+GETPIVOTDATA("Suma de Valor Ahorro",AHORRO!$H$29,"Mes fin","feb")</f>
        <v>97684349</v>
      </c>
      <c r="J133" s="420"/>
      <c r="K133" s="420"/>
      <c r="L133" s="421">
        <f t="shared" ref="L133:L143" si="217">IF(C133=0,0,I133/C133)</f>
        <v>2.4902494554963236E-2</v>
      </c>
      <c r="M133" s="421"/>
      <c r="O133" s="17" t="str">
        <f t="shared" ref="O133" si="218">+B133</f>
        <v>feb</v>
      </c>
      <c r="P133" s="56">
        <f t="shared" ref="P133" si="219">+L133</f>
        <v>2.4902494554963236E-2</v>
      </c>
      <c r="Q133" s="56">
        <v>1.4999999999999999E-2</v>
      </c>
    </row>
    <row r="134" spans="2:17" ht="18" customHeight="1" x14ac:dyDescent="0.25">
      <c r="B134" s="31" t="str">
        <f t="shared" si="215"/>
        <v>mar</v>
      </c>
      <c r="C134" s="404">
        <f>+GETPIVOTDATA("Suma de Valor     Presupuestado ",AHORRO!$H$29,"Mes fin","MAR")</f>
        <v>3633971408</v>
      </c>
      <c r="D134" s="404"/>
      <c r="E134" s="404"/>
      <c r="F134" s="402">
        <f t="shared" ref="F134" si="220">+C134-I134</f>
        <v>3225151036.3999996</v>
      </c>
      <c r="G134" s="402"/>
      <c r="H134" s="402"/>
      <c r="I134" s="402">
        <f>+GETPIVOTDATA("Suma de Valor Ahorro",AHORRO!$H$29,"Mes fin","MAR")</f>
        <v>408820371.60000014</v>
      </c>
      <c r="J134" s="402"/>
      <c r="K134" s="402"/>
      <c r="L134" s="419">
        <f t="shared" ref="L134" si="221">IF(C134=0,0,I134/C134)</f>
        <v>0.11249961149941996</v>
      </c>
      <c r="M134" s="419"/>
      <c r="O134" s="17" t="str">
        <f t="shared" ref="O134" si="222">+B134</f>
        <v>mar</v>
      </c>
      <c r="P134" s="56">
        <f t="shared" ref="P134" si="223">+L134</f>
        <v>0.11249961149941996</v>
      </c>
      <c r="Q134" s="56">
        <v>1.4999999999999999E-2</v>
      </c>
    </row>
    <row r="135" spans="2:17" ht="18" customHeight="1" x14ac:dyDescent="0.25">
      <c r="B135" s="26" t="str">
        <f t="shared" si="215"/>
        <v>abr</v>
      </c>
      <c r="C135" s="420">
        <v>0</v>
      </c>
      <c r="D135" s="420"/>
      <c r="E135" s="420"/>
      <c r="F135" s="420">
        <f t="shared" ref="F135:F136" si="224">+C135-I135</f>
        <v>0</v>
      </c>
      <c r="G135" s="420"/>
      <c r="H135" s="420"/>
      <c r="I135" s="420">
        <v>0</v>
      </c>
      <c r="J135" s="420"/>
      <c r="K135" s="420"/>
      <c r="L135" s="421">
        <f t="shared" ref="L135:L136" si="225">IF(C135=0,0,I135/C135)</f>
        <v>0</v>
      </c>
      <c r="M135" s="421"/>
      <c r="O135" s="17" t="str">
        <f t="shared" ref="O135" si="226">+B135</f>
        <v>abr</v>
      </c>
      <c r="P135" s="56">
        <f t="shared" ref="P135" si="227">+L135</f>
        <v>0</v>
      </c>
      <c r="Q135" s="56">
        <v>1.4999999999999999E-2</v>
      </c>
    </row>
    <row r="136" spans="2:17" ht="18" customHeight="1" x14ac:dyDescent="0.25">
      <c r="B136" s="31" t="str">
        <f t="shared" si="215"/>
        <v>may</v>
      </c>
      <c r="C136" s="404">
        <f>+GETPIVOTDATA("Suma de Valor     Presupuestado ",AHORRO!$H$29,"Mes fin","MAy")</f>
        <v>12902061106.526316</v>
      </c>
      <c r="D136" s="404"/>
      <c r="E136" s="404"/>
      <c r="F136" s="402">
        <f t="shared" si="224"/>
        <v>11561394531</v>
      </c>
      <c r="G136" s="402"/>
      <c r="H136" s="402"/>
      <c r="I136" s="402">
        <f>+GETPIVOTDATA("Suma de Valor Ahorro",AHORRO!$H$29,"Mes fin","MAy")</f>
        <v>1340666575.5263162</v>
      </c>
      <c r="J136" s="402"/>
      <c r="K136" s="402"/>
      <c r="L136" s="419">
        <f t="shared" si="225"/>
        <v>0.10391103905469491</v>
      </c>
      <c r="M136" s="419"/>
      <c r="O136" s="17" t="str">
        <f t="shared" ref="O136" si="228">+B136</f>
        <v>may</v>
      </c>
      <c r="P136" s="56">
        <f t="shared" ref="P136" si="229">+L136</f>
        <v>0.10391103905469491</v>
      </c>
      <c r="Q136" s="56">
        <v>1.4999999999999999E-2</v>
      </c>
    </row>
    <row r="137" spans="2:17" ht="18" customHeight="1" x14ac:dyDescent="0.25">
      <c r="B137" s="26" t="str">
        <f t="shared" si="215"/>
        <v>jun</v>
      </c>
      <c r="C137" s="420">
        <f>+GETPIVOTDATA("Suma de Valor     Presupuestado ",AHORRO!$H$29,"Mes fin","jun")</f>
        <v>9474546883</v>
      </c>
      <c r="D137" s="420"/>
      <c r="E137" s="420"/>
      <c r="F137" s="420">
        <f t="shared" ref="F137:F138" si="230">+C137-I137</f>
        <v>9276621473</v>
      </c>
      <c r="G137" s="420"/>
      <c r="H137" s="420"/>
      <c r="I137" s="420">
        <f>+GETPIVOTDATA("Suma de Valor Ahorro",AHORRO!$H$29,"Mes fin","jun")</f>
        <v>197925410</v>
      </c>
      <c r="J137" s="420"/>
      <c r="K137" s="420"/>
      <c r="L137" s="421">
        <f t="shared" ref="L137:L138" si="231">IF(C137=0,0,I137/C137)</f>
        <v>2.0890224349951112E-2</v>
      </c>
      <c r="M137" s="421"/>
      <c r="O137" s="17" t="str">
        <f t="shared" ref="O137" si="232">+B137</f>
        <v>jun</v>
      </c>
      <c r="P137" s="56">
        <f t="shared" ref="P137" si="233">+L137</f>
        <v>2.0890224349951112E-2</v>
      </c>
      <c r="Q137" s="56">
        <v>1.4999999999999999E-2</v>
      </c>
    </row>
    <row r="138" spans="2:17" ht="18" customHeight="1" x14ac:dyDescent="0.25">
      <c r="B138" s="31" t="str">
        <f t="shared" si="215"/>
        <v>jul</v>
      </c>
      <c r="C138" s="404">
        <f>+GETPIVOTDATA("Suma de Valor     Presupuestado ",AHORRO!$H$29,"Mes fin","jul")</f>
        <v>12996037596.6</v>
      </c>
      <c r="D138" s="404"/>
      <c r="E138" s="404"/>
      <c r="F138" s="402">
        <f t="shared" si="230"/>
        <v>12843445951</v>
      </c>
      <c r="G138" s="402"/>
      <c r="H138" s="402"/>
      <c r="I138" s="402">
        <f>+GETPIVOTDATA("Suma de Valor Ahorro",AHORRO!$H$29,"Mes fin","jul")</f>
        <v>152591645.60000002</v>
      </c>
      <c r="J138" s="402"/>
      <c r="K138" s="402"/>
      <c r="L138" s="419">
        <f t="shared" si="231"/>
        <v>1.1741397673389369E-2</v>
      </c>
      <c r="M138" s="419"/>
      <c r="O138" s="17" t="str">
        <f t="shared" ref="O138" si="234">+B138</f>
        <v>jul</v>
      </c>
      <c r="P138" s="56">
        <f t="shared" ref="P138" si="235">+L138</f>
        <v>1.1741397673389369E-2</v>
      </c>
      <c r="Q138" s="56">
        <v>1.4999999999999999E-2</v>
      </c>
    </row>
    <row r="139" spans="2:17" ht="18" customHeight="1" x14ac:dyDescent="0.25">
      <c r="B139" s="26" t="str">
        <f t="shared" si="215"/>
        <v>ago</v>
      </c>
      <c r="C139" s="420" t="e">
        <f>+GETPIVOTDATA("Suma de Valor     Presupuestado ",AHORRO!$H$29,"Mes fin","ago")</f>
        <v>#REF!</v>
      </c>
      <c r="D139" s="420"/>
      <c r="E139" s="420"/>
      <c r="F139" s="420" t="e">
        <f t="shared" ref="F139:F140" si="236">+C139-I139</f>
        <v>#REF!</v>
      </c>
      <c r="G139" s="420"/>
      <c r="H139" s="420"/>
      <c r="I139" s="420" t="e">
        <f>+GETPIVOTDATA("Suma de Valor Ahorro",AHORRO!$H$29,"Mes fin","ago")</f>
        <v>#REF!</v>
      </c>
      <c r="J139" s="420"/>
      <c r="K139" s="420"/>
      <c r="L139" s="421" t="e">
        <f t="shared" ref="L139:L140" si="237">IF(C139=0,0,I139/C139)</f>
        <v>#REF!</v>
      </c>
      <c r="M139" s="421"/>
      <c r="O139" s="17" t="str">
        <f t="shared" ref="O139" si="238">+B139</f>
        <v>ago</v>
      </c>
      <c r="P139" s="56" t="e">
        <f t="shared" ref="P139" si="239">+L139</f>
        <v>#REF!</v>
      </c>
      <c r="Q139" s="56">
        <v>1.4999999999999999E-2</v>
      </c>
    </row>
    <row r="140" spans="2:17" ht="18" customHeight="1" x14ac:dyDescent="0.25">
      <c r="B140" s="31" t="str">
        <f t="shared" si="215"/>
        <v>sep</v>
      </c>
      <c r="C140" s="404">
        <f>+GETPIVOTDATA("Suma de Valor     Presupuestado ",AHORRO!$H$29,"Mes fin","sep")</f>
        <v>7857036048</v>
      </c>
      <c r="D140" s="404"/>
      <c r="E140" s="404"/>
      <c r="F140" s="402">
        <f t="shared" si="236"/>
        <v>7642584908</v>
      </c>
      <c r="G140" s="402"/>
      <c r="H140" s="402"/>
      <c r="I140" s="402">
        <f>+GETPIVOTDATA("Suma de Valor Ahorro",AHORRO!$H$29,"Mes fin","sep")</f>
        <v>214451140</v>
      </c>
      <c r="J140" s="402"/>
      <c r="K140" s="402"/>
      <c r="L140" s="419">
        <f t="shared" si="237"/>
        <v>2.7294152488276838E-2</v>
      </c>
      <c r="M140" s="419"/>
      <c r="O140" s="17" t="str">
        <f t="shared" ref="O140" si="240">+B140</f>
        <v>sep</v>
      </c>
      <c r="P140" s="56">
        <f t="shared" ref="P140" si="241">+L140</f>
        <v>2.7294152488276838E-2</v>
      </c>
      <c r="Q140" s="56">
        <v>1.4999999999999999E-2</v>
      </c>
    </row>
    <row r="141" spans="2:17" ht="18" customHeight="1" x14ac:dyDescent="0.25">
      <c r="B141" s="26" t="str">
        <f t="shared" si="215"/>
        <v>oct</v>
      </c>
      <c r="C141" s="420">
        <f>+GETPIVOTDATA("Suma de Valor     Presupuestado ",AHORRO!$H$29,"Mes fin","oct")</f>
        <v>691395355</v>
      </c>
      <c r="D141" s="420"/>
      <c r="E141" s="420"/>
      <c r="F141" s="420">
        <f t="shared" ref="F141:F142" si="242">+C141-I141</f>
        <v>691395355</v>
      </c>
      <c r="G141" s="420"/>
      <c r="H141" s="420"/>
      <c r="I141" s="420">
        <f>+GETPIVOTDATA("Suma de Valor Ahorro",AHORRO!$H$29,"Mes fin","oct")</f>
        <v>0</v>
      </c>
      <c r="J141" s="420"/>
      <c r="K141" s="420"/>
      <c r="L141" s="421">
        <f t="shared" ref="L141:L142" si="243">IF(C141=0,0,I141/C141)</f>
        <v>0</v>
      </c>
      <c r="M141" s="421"/>
      <c r="O141" s="17" t="str">
        <f t="shared" ref="O141" si="244">+B141</f>
        <v>oct</v>
      </c>
      <c r="P141" s="56">
        <f t="shared" ref="P141" si="245">+L141</f>
        <v>0</v>
      </c>
      <c r="Q141" s="56">
        <v>1.4999999999999999E-2</v>
      </c>
    </row>
    <row r="142" spans="2:17" ht="18" customHeight="1" x14ac:dyDescent="0.25">
      <c r="B142" s="31" t="str">
        <f t="shared" si="215"/>
        <v>nov</v>
      </c>
      <c r="C142" s="404">
        <v>0</v>
      </c>
      <c r="D142" s="404"/>
      <c r="E142" s="404"/>
      <c r="F142" s="402">
        <f t="shared" si="242"/>
        <v>0</v>
      </c>
      <c r="G142" s="402"/>
      <c r="H142" s="402"/>
      <c r="I142" s="402">
        <v>0</v>
      </c>
      <c r="J142" s="402"/>
      <c r="K142" s="402"/>
      <c r="L142" s="419">
        <f t="shared" si="243"/>
        <v>0</v>
      </c>
      <c r="M142" s="419"/>
      <c r="O142" s="17" t="str">
        <f t="shared" ref="O142" si="246">+B142</f>
        <v>nov</v>
      </c>
      <c r="P142" s="56">
        <f t="shared" ref="P142" si="247">+L142</f>
        <v>0</v>
      </c>
      <c r="Q142" s="56">
        <v>1.4999999999999999E-2</v>
      </c>
    </row>
    <row r="143" spans="2:17" ht="18" customHeight="1" x14ac:dyDescent="0.25">
      <c r="B143" s="34" t="s">
        <v>49</v>
      </c>
      <c r="C143" s="474" t="e">
        <f>SUM(C132:D142)</f>
        <v>#REF!</v>
      </c>
      <c r="D143" s="475"/>
      <c r="E143" s="476"/>
      <c r="F143" s="474" t="e">
        <f>SUM(F132:G142)</f>
        <v>#REF!</v>
      </c>
      <c r="G143" s="475"/>
      <c r="H143" s="476"/>
      <c r="I143" s="474" t="e">
        <f>SUM(I132:J142)</f>
        <v>#REF!</v>
      </c>
      <c r="J143" s="475"/>
      <c r="K143" s="476"/>
      <c r="L143" s="456" t="e">
        <f t="shared" si="217"/>
        <v>#REF!</v>
      </c>
      <c r="M143" s="457"/>
    </row>
    <row r="144" spans="2:17" ht="18" customHeight="1" x14ac:dyDescent="0.25">
      <c r="B144" s="30" t="s">
        <v>62</v>
      </c>
      <c r="C144" s="453">
        <v>1.4999999999999999E-2</v>
      </c>
      <c r="D144" s="454"/>
      <c r="E144" s="454"/>
      <c r="F144" s="454"/>
      <c r="G144" s="454"/>
      <c r="H144" s="454"/>
      <c r="I144" s="454"/>
      <c r="J144" s="454"/>
      <c r="K144" s="454"/>
      <c r="L144" s="454"/>
      <c r="M144" s="455"/>
    </row>
    <row r="145" spans="2:24" ht="18" customHeight="1" x14ac:dyDescent="0.25">
      <c r="B145" s="34" t="s">
        <v>63</v>
      </c>
      <c r="C145" s="471" t="e">
        <f>+L143/C144</f>
        <v>#REF!</v>
      </c>
      <c r="D145" s="472"/>
      <c r="E145" s="472"/>
      <c r="F145" s="472"/>
      <c r="G145" s="472"/>
      <c r="H145" s="472"/>
      <c r="I145" s="472"/>
      <c r="J145" s="472"/>
      <c r="K145" s="472"/>
      <c r="L145" s="472"/>
      <c r="M145" s="473"/>
    </row>
    <row r="147" spans="2:24" ht="18" customHeight="1" x14ac:dyDescent="0.25">
      <c r="B147" s="42" t="s">
        <v>84</v>
      </c>
    </row>
    <row r="148" spans="2:24" ht="18" customHeight="1" x14ac:dyDescent="0.25">
      <c r="B148" s="436" t="s">
        <v>14</v>
      </c>
      <c r="C148" s="437"/>
      <c r="D148" s="435" t="s">
        <v>73</v>
      </c>
      <c r="E148" s="435"/>
      <c r="F148" s="435"/>
      <c r="G148" s="435"/>
      <c r="H148" s="435"/>
      <c r="I148" s="435"/>
      <c r="J148" s="435"/>
      <c r="K148" s="435"/>
      <c r="L148" s="435"/>
      <c r="M148" s="434" t="s">
        <v>1299</v>
      </c>
      <c r="N148" s="435"/>
      <c r="O148" s="435"/>
    </row>
    <row r="149" spans="2:24" ht="18" customHeight="1" x14ac:dyDescent="0.25">
      <c r="B149" s="436"/>
      <c r="C149" s="437"/>
      <c r="D149" s="435" t="s">
        <v>40</v>
      </c>
      <c r="E149" s="435"/>
      <c r="F149" s="435"/>
      <c r="G149" s="435" t="s">
        <v>43</v>
      </c>
      <c r="H149" s="435"/>
      <c r="I149" s="435"/>
      <c r="J149" s="435" t="s">
        <v>74</v>
      </c>
      <c r="K149" s="435"/>
      <c r="L149" s="435"/>
      <c r="M149" s="435"/>
      <c r="N149" s="435"/>
      <c r="O149" s="435"/>
    </row>
    <row r="150" spans="2:24" ht="18" customHeight="1" x14ac:dyDescent="0.25">
      <c r="B150" s="436"/>
      <c r="C150" s="437"/>
      <c r="D150" s="68" t="s">
        <v>50</v>
      </c>
      <c r="E150" s="68" t="s">
        <v>60</v>
      </c>
      <c r="F150" s="68" t="s">
        <v>61</v>
      </c>
      <c r="G150" s="68" t="s">
        <v>50</v>
      </c>
      <c r="H150" s="68" t="s">
        <v>60</v>
      </c>
      <c r="I150" s="67" t="s">
        <v>61</v>
      </c>
      <c r="J150" s="68" t="s">
        <v>50</v>
      </c>
      <c r="K150" s="68" t="s">
        <v>60</v>
      </c>
      <c r="L150" s="67" t="s">
        <v>61</v>
      </c>
      <c r="M150" s="468"/>
      <c r="N150" s="469"/>
      <c r="O150" s="470"/>
    </row>
    <row r="151" spans="2:24" ht="18" customHeight="1" x14ac:dyDescent="0.25">
      <c r="B151" s="412" t="str">
        <f>+Q151</f>
        <v>AYDEE OVALLE</v>
      </c>
      <c r="C151" s="412"/>
      <c r="D151" s="32">
        <f>+R151</f>
        <v>1</v>
      </c>
      <c r="E151" s="32">
        <f>+S151</f>
        <v>85</v>
      </c>
      <c r="F151" s="33">
        <f>IF(D151=0,0,E151/D151)</f>
        <v>85</v>
      </c>
      <c r="G151" s="32"/>
      <c r="H151" s="32"/>
      <c r="I151" s="33"/>
      <c r="J151" s="32"/>
      <c r="K151" s="32"/>
      <c r="L151" s="33"/>
      <c r="M151" s="413">
        <f>+T151</f>
        <v>0</v>
      </c>
      <c r="N151" s="414"/>
      <c r="O151" s="415"/>
      <c r="Q151" s="16" t="s">
        <v>151</v>
      </c>
      <c r="R151" s="39">
        <v>1</v>
      </c>
      <c r="S151" s="39">
        <v>85</v>
      </c>
      <c r="T151" s="91">
        <v>0</v>
      </c>
    </row>
    <row r="152" spans="2:24" ht="18" customHeight="1" x14ac:dyDescent="0.25">
      <c r="B152" s="412" t="str">
        <f t="shared" ref="B152:B153" si="248">+Q152</f>
        <v>CRISTHIAN BURBANO</v>
      </c>
      <c r="C152" s="412"/>
      <c r="D152" s="32">
        <f t="shared" ref="D152:D157" si="249">+R152</f>
        <v>1</v>
      </c>
      <c r="E152" s="32">
        <f t="shared" ref="E152:E157" si="250">+S152</f>
        <v>138</v>
      </c>
      <c r="F152" s="33">
        <f t="shared" ref="F152:F157" si="251">IF(D152=0,0,E152/D152)</f>
        <v>138</v>
      </c>
      <c r="G152" s="32"/>
      <c r="H152" s="32"/>
      <c r="I152" s="33"/>
      <c r="J152" s="32"/>
      <c r="K152" s="32"/>
      <c r="L152" s="33"/>
      <c r="M152" s="413">
        <f t="shared" ref="M152:M160" si="252">+T152</f>
        <v>5392881</v>
      </c>
      <c r="N152" s="414"/>
      <c r="O152" s="415"/>
      <c r="Q152" s="16" t="s">
        <v>364</v>
      </c>
      <c r="R152" s="39">
        <v>1</v>
      </c>
      <c r="S152" s="39">
        <v>138</v>
      </c>
      <c r="T152" s="91">
        <v>5392881</v>
      </c>
    </row>
    <row r="153" spans="2:24" ht="18" customHeight="1" x14ac:dyDescent="0.25">
      <c r="B153" s="412" t="str">
        <f t="shared" si="248"/>
        <v>HAROLD MONDRAGON</v>
      </c>
      <c r="C153" s="412"/>
      <c r="D153" s="32">
        <f t="shared" si="249"/>
        <v>31</v>
      </c>
      <c r="E153" s="32">
        <f t="shared" si="250"/>
        <v>3284</v>
      </c>
      <c r="F153" s="33">
        <f t="shared" si="251"/>
        <v>105.93548387096774</v>
      </c>
      <c r="G153" s="32"/>
      <c r="H153" s="32"/>
      <c r="I153" s="33"/>
      <c r="J153" s="32"/>
      <c r="K153" s="32"/>
      <c r="L153" s="33"/>
      <c r="M153" s="413">
        <f t="shared" si="252"/>
        <v>873175573</v>
      </c>
      <c r="N153" s="414"/>
      <c r="O153" s="415"/>
      <c r="Q153" s="16" t="s">
        <v>187</v>
      </c>
      <c r="R153" s="39">
        <v>31</v>
      </c>
      <c r="S153" s="39">
        <v>3284</v>
      </c>
      <c r="T153" s="91">
        <v>873175573</v>
      </c>
    </row>
    <row r="154" spans="2:24" ht="18" customHeight="1" x14ac:dyDescent="0.25">
      <c r="B154" s="412" t="str">
        <f t="shared" ref="B154:B174" si="253">+Q154</f>
        <v>JUAN PABLO QUIMBAYO</v>
      </c>
      <c r="C154" s="412"/>
      <c r="D154" s="32">
        <f t="shared" si="249"/>
        <v>3</v>
      </c>
      <c r="E154" s="32">
        <f t="shared" si="250"/>
        <v>262</v>
      </c>
      <c r="F154" s="33">
        <f t="shared" si="251"/>
        <v>87.333333333333329</v>
      </c>
      <c r="G154" s="32"/>
      <c r="H154" s="32"/>
      <c r="I154" s="33"/>
      <c r="J154" s="32"/>
      <c r="K154" s="32"/>
      <c r="L154" s="33"/>
      <c r="M154" s="413">
        <f t="shared" si="252"/>
        <v>379556714</v>
      </c>
      <c r="N154" s="414"/>
      <c r="O154" s="415"/>
      <c r="Q154" s="16" t="s">
        <v>161</v>
      </c>
      <c r="R154" s="39">
        <v>3</v>
      </c>
      <c r="S154" s="39">
        <v>262</v>
      </c>
      <c r="T154" s="91">
        <v>379556714</v>
      </c>
      <c r="U154" s="16"/>
      <c r="W154" s="39"/>
      <c r="X154" s="39"/>
    </row>
    <row r="155" spans="2:24" ht="18" customHeight="1" x14ac:dyDescent="0.25">
      <c r="B155" s="412" t="str">
        <f t="shared" si="253"/>
        <v>JULIO GARCIA</v>
      </c>
      <c r="C155" s="412"/>
      <c r="D155" s="32">
        <f t="shared" si="249"/>
        <v>1</v>
      </c>
      <c r="E155" s="32">
        <f t="shared" si="250"/>
        <v>100</v>
      </c>
      <c r="F155" s="33">
        <f t="shared" si="251"/>
        <v>100</v>
      </c>
      <c r="G155" s="32"/>
      <c r="H155" s="32"/>
      <c r="I155" s="33"/>
      <c r="J155" s="32"/>
      <c r="K155" s="32"/>
      <c r="L155" s="33"/>
      <c r="M155" s="413">
        <f t="shared" si="252"/>
        <v>9522</v>
      </c>
      <c r="N155" s="414"/>
      <c r="O155" s="415"/>
      <c r="Q155" s="16" t="s">
        <v>503</v>
      </c>
      <c r="R155" s="39">
        <v>1</v>
      </c>
      <c r="S155" s="39">
        <v>100</v>
      </c>
      <c r="T155" s="91">
        <v>9522</v>
      </c>
      <c r="U155" s="16"/>
      <c r="V155" s="16"/>
      <c r="W155" s="39"/>
      <c r="X155" s="39"/>
    </row>
    <row r="156" spans="2:24" ht="18" customHeight="1" x14ac:dyDescent="0.25">
      <c r="B156" s="412" t="str">
        <f t="shared" ref="B156" si="254">+Q156</f>
        <v>LEIDY FRANCO</v>
      </c>
      <c r="C156" s="412"/>
      <c r="D156" s="32">
        <f t="shared" si="249"/>
        <v>4</v>
      </c>
      <c r="E156" s="32">
        <f t="shared" si="250"/>
        <v>400</v>
      </c>
      <c r="F156" s="33">
        <f t="shared" si="251"/>
        <v>100</v>
      </c>
      <c r="G156" s="32"/>
      <c r="H156" s="32"/>
      <c r="I156" s="33"/>
      <c r="J156" s="32"/>
      <c r="K156" s="32"/>
      <c r="L156" s="33"/>
      <c r="M156" s="413">
        <f t="shared" si="252"/>
        <v>136919867</v>
      </c>
      <c r="N156" s="414"/>
      <c r="O156" s="415"/>
      <c r="Q156" s="16" t="s">
        <v>337</v>
      </c>
      <c r="R156" s="39">
        <v>4</v>
      </c>
      <c r="S156" s="39">
        <v>400</v>
      </c>
      <c r="T156" s="91">
        <v>136919867</v>
      </c>
      <c r="U156" s="16"/>
      <c r="W156" s="39"/>
      <c r="X156" s="39"/>
    </row>
    <row r="157" spans="2:24" ht="18" customHeight="1" x14ac:dyDescent="0.25">
      <c r="B157" s="412" t="str">
        <f t="shared" si="253"/>
        <v>LINA ECHAVARRIA</v>
      </c>
      <c r="C157" s="412"/>
      <c r="D157" s="32">
        <f t="shared" si="249"/>
        <v>1</v>
      </c>
      <c r="E157" s="32">
        <f t="shared" si="250"/>
        <v>92</v>
      </c>
      <c r="F157" s="33">
        <f t="shared" si="251"/>
        <v>92</v>
      </c>
      <c r="G157" s="32"/>
      <c r="H157" s="32"/>
      <c r="I157" s="33"/>
      <c r="J157" s="32"/>
      <c r="K157" s="32"/>
      <c r="L157" s="33"/>
      <c r="M157" s="413">
        <f t="shared" si="252"/>
        <v>81396</v>
      </c>
      <c r="N157" s="414"/>
      <c r="O157" s="415"/>
      <c r="Q157" s="16" t="s">
        <v>452</v>
      </c>
      <c r="R157" s="39">
        <v>1</v>
      </c>
      <c r="S157" s="39">
        <v>92</v>
      </c>
      <c r="T157" s="91">
        <v>81396</v>
      </c>
      <c r="U157" s="16"/>
      <c r="W157" s="39"/>
      <c r="X157" s="39"/>
    </row>
    <row r="158" spans="2:24" ht="18" customHeight="1" x14ac:dyDescent="0.25">
      <c r="B158" s="412" t="str">
        <f t="shared" ref="B158:B161" si="255">+Q158</f>
        <v>PABLO CAICEDO</v>
      </c>
      <c r="C158" s="412"/>
      <c r="D158" s="32">
        <f t="shared" ref="D158:D160" si="256">+R158</f>
        <v>5</v>
      </c>
      <c r="E158" s="32">
        <f t="shared" ref="E158:E160" si="257">+S158</f>
        <v>269</v>
      </c>
      <c r="F158" s="33">
        <f t="shared" ref="F158:F160" si="258">IF(D158=0,0,E158/D158)</f>
        <v>53.8</v>
      </c>
      <c r="G158" s="32"/>
      <c r="H158" s="32"/>
      <c r="I158" s="33"/>
      <c r="J158" s="32"/>
      <c r="K158" s="32"/>
      <c r="L158" s="33"/>
      <c r="M158" s="413">
        <f t="shared" si="252"/>
        <v>49665987</v>
      </c>
      <c r="N158" s="414"/>
      <c r="O158" s="415"/>
      <c r="Q158" s="16" t="s">
        <v>206</v>
      </c>
      <c r="R158" s="39">
        <v>5</v>
      </c>
      <c r="S158" s="39">
        <v>269</v>
      </c>
      <c r="T158" s="91">
        <v>49665987</v>
      </c>
      <c r="U158" s="16"/>
      <c r="W158" s="39"/>
      <c r="X158" s="39"/>
    </row>
    <row r="159" spans="2:24" ht="18" customHeight="1" x14ac:dyDescent="0.25">
      <c r="B159" s="412" t="str">
        <f t="shared" si="255"/>
        <v>PAOLA BELTRAN</v>
      </c>
      <c r="C159" s="412"/>
      <c r="D159" s="32">
        <f t="shared" si="256"/>
        <v>5</v>
      </c>
      <c r="E159" s="32">
        <f t="shared" si="257"/>
        <v>479</v>
      </c>
      <c r="F159" s="33">
        <f t="shared" si="258"/>
        <v>95.8</v>
      </c>
      <c r="G159" s="32"/>
      <c r="H159" s="32"/>
      <c r="I159" s="33"/>
      <c r="J159" s="32"/>
      <c r="K159" s="32"/>
      <c r="L159" s="33"/>
      <c r="M159" s="413">
        <f t="shared" si="252"/>
        <v>14488824</v>
      </c>
      <c r="N159" s="414"/>
      <c r="O159" s="415"/>
      <c r="Q159" s="16" t="s">
        <v>312</v>
      </c>
      <c r="R159" s="39">
        <v>5</v>
      </c>
      <c r="S159" s="39">
        <v>479</v>
      </c>
      <c r="T159" s="91">
        <v>14488824</v>
      </c>
      <c r="U159" s="16"/>
      <c r="W159" s="39"/>
      <c r="X159" s="39"/>
    </row>
    <row r="160" spans="2:24" ht="18" customHeight="1" x14ac:dyDescent="0.25">
      <c r="B160" s="412" t="str">
        <f t="shared" si="255"/>
        <v xml:space="preserve">JHON LARRY </v>
      </c>
      <c r="C160" s="412"/>
      <c r="D160" s="32">
        <f t="shared" si="256"/>
        <v>1</v>
      </c>
      <c r="E160" s="32">
        <f t="shared" si="257"/>
        <v>115</v>
      </c>
      <c r="F160" s="33">
        <f t="shared" si="258"/>
        <v>115</v>
      </c>
      <c r="G160" s="32"/>
      <c r="H160" s="32"/>
      <c r="I160" s="33"/>
      <c r="J160" s="32"/>
      <c r="K160" s="32"/>
      <c r="L160" s="33"/>
      <c r="M160" s="413">
        <f t="shared" si="252"/>
        <v>6042937</v>
      </c>
      <c r="N160" s="414"/>
      <c r="O160" s="415"/>
      <c r="Q160" s="16" t="s">
        <v>572</v>
      </c>
      <c r="R160" s="39">
        <v>1</v>
      </c>
      <c r="S160" s="39">
        <v>115</v>
      </c>
      <c r="T160" s="91">
        <v>6042937</v>
      </c>
      <c r="U160" s="16"/>
      <c r="W160" s="39"/>
      <c r="X160" s="39"/>
    </row>
    <row r="161" spans="2:24" ht="18" customHeight="1" x14ac:dyDescent="0.25">
      <c r="B161" s="411" t="str">
        <f t="shared" si="255"/>
        <v>ADALBERTO VALENCIA</v>
      </c>
      <c r="C161" s="411"/>
      <c r="D161" s="23"/>
      <c r="E161" s="23"/>
      <c r="F161" s="29"/>
      <c r="G161" s="23">
        <f t="shared" ref="G161" si="259">+R161</f>
        <v>5</v>
      </c>
      <c r="H161" s="23">
        <f t="shared" ref="H161" si="260">+S161</f>
        <v>196</v>
      </c>
      <c r="I161" s="29">
        <f t="shared" ref="I161" si="261">IF(G161=0,0,H161/G161)</f>
        <v>39.200000000000003</v>
      </c>
      <c r="J161" s="23"/>
      <c r="K161" s="23"/>
      <c r="L161" s="29"/>
      <c r="M161" s="416">
        <f t="shared" ref="M161" si="262">+T161</f>
        <v>5292740</v>
      </c>
      <c r="N161" s="417"/>
      <c r="O161" s="418"/>
      <c r="Q161" s="16" t="s">
        <v>256</v>
      </c>
      <c r="R161" s="39">
        <v>5</v>
      </c>
      <c r="S161" s="39">
        <v>196</v>
      </c>
      <c r="T161" s="91">
        <v>5292740</v>
      </c>
    </row>
    <row r="162" spans="2:24" ht="18" customHeight="1" x14ac:dyDescent="0.25">
      <c r="B162" s="411" t="str">
        <f t="shared" si="253"/>
        <v>ANA MARIA GIL</v>
      </c>
      <c r="C162" s="411"/>
      <c r="D162" s="23"/>
      <c r="E162" s="23"/>
      <c r="F162" s="29"/>
      <c r="G162" s="23">
        <f t="shared" ref="G162:G171" si="263">+R162</f>
        <v>19</v>
      </c>
      <c r="H162" s="23">
        <f t="shared" ref="H162:H171" si="264">+S162</f>
        <v>510</v>
      </c>
      <c r="I162" s="29">
        <f t="shared" ref="I162:I171" si="265">IF(G162=0,0,H162/G162)</f>
        <v>26.842105263157894</v>
      </c>
      <c r="J162" s="23"/>
      <c r="K162" s="23"/>
      <c r="L162" s="29"/>
      <c r="M162" s="416">
        <f t="shared" ref="M162:M188" si="266">+T162</f>
        <v>34156832</v>
      </c>
      <c r="N162" s="417"/>
      <c r="O162" s="418"/>
      <c r="Q162" s="16" t="s">
        <v>277</v>
      </c>
      <c r="R162" s="39">
        <v>19</v>
      </c>
      <c r="S162" s="39">
        <v>510</v>
      </c>
      <c r="T162" s="91">
        <v>34156832</v>
      </c>
    </row>
    <row r="163" spans="2:24" ht="18" customHeight="1" x14ac:dyDescent="0.25">
      <c r="B163" s="411" t="str">
        <f t="shared" si="253"/>
        <v>AYDEE OVALLE</v>
      </c>
      <c r="C163" s="411"/>
      <c r="D163" s="23"/>
      <c r="E163" s="23"/>
      <c r="F163" s="29"/>
      <c r="G163" s="23">
        <f t="shared" si="263"/>
        <v>5</v>
      </c>
      <c r="H163" s="23">
        <f t="shared" si="264"/>
        <v>82</v>
      </c>
      <c r="I163" s="29">
        <f t="shared" si="265"/>
        <v>16.399999999999999</v>
      </c>
      <c r="J163" s="23"/>
      <c r="K163" s="23"/>
      <c r="L163" s="29"/>
      <c r="M163" s="416">
        <f t="shared" si="266"/>
        <v>2041</v>
      </c>
      <c r="N163" s="417"/>
      <c r="O163" s="418"/>
      <c r="Q163" s="16" t="s">
        <v>151</v>
      </c>
      <c r="R163" s="39">
        <v>5</v>
      </c>
      <c r="S163" s="39">
        <v>82</v>
      </c>
      <c r="T163" s="91">
        <v>2041</v>
      </c>
      <c r="U163"/>
      <c r="W163"/>
      <c r="X163"/>
    </row>
    <row r="164" spans="2:24" ht="18" customHeight="1" x14ac:dyDescent="0.25">
      <c r="B164" s="411" t="str">
        <f t="shared" si="253"/>
        <v>CRISTHIAN BURBANO</v>
      </c>
      <c r="C164" s="411"/>
      <c r="D164" s="23"/>
      <c r="E164" s="23"/>
      <c r="F164" s="29"/>
      <c r="G164" s="23">
        <f t="shared" si="263"/>
        <v>4</v>
      </c>
      <c r="H164" s="23">
        <f t="shared" si="264"/>
        <v>96</v>
      </c>
      <c r="I164" s="29">
        <f t="shared" si="265"/>
        <v>24</v>
      </c>
      <c r="J164" s="23"/>
      <c r="K164" s="23"/>
      <c r="L164" s="29"/>
      <c r="M164" s="416">
        <f t="shared" si="266"/>
        <v>2409326</v>
      </c>
      <c r="N164" s="417"/>
      <c r="O164" s="418"/>
      <c r="Q164" s="16" t="s">
        <v>364</v>
      </c>
      <c r="R164" s="39">
        <v>4</v>
      </c>
      <c r="S164" s="39">
        <v>96</v>
      </c>
      <c r="T164" s="91">
        <v>2409326</v>
      </c>
      <c r="U164"/>
      <c r="W164"/>
      <c r="X164"/>
    </row>
    <row r="165" spans="2:24" ht="18" customHeight="1" x14ac:dyDescent="0.25">
      <c r="B165" s="411" t="str">
        <f t="shared" si="253"/>
        <v>ESTEFANIA SANCHEZ</v>
      </c>
      <c r="C165" s="411"/>
      <c r="D165" s="23"/>
      <c r="E165" s="23"/>
      <c r="F165" s="29"/>
      <c r="G165" s="23">
        <f t="shared" si="263"/>
        <v>5</v>
      </c>
      <c r="H165" s="23">
        <f t="shared" si="264"/>
        <v>144</v>
      </c>
      <c r="I165" s="29">
        <f t="shared" si="265"/>
        <v>28.8</v>
      </c>
      <c r="J165" s="23"/>
      <c r="K165" s="23"/>
      <c r="L165" s="29"/>
      <c r="M165" s="416">
        <f t="shared" si="266"/>
        <v>6344133</v>
      </c>
      <c r="N165" s="417"/>
      <c r="O165" s="418"/>
      <c r="Q165" s="16" t="s">
        <v>35</v>
      </c>
      <c r="R165" s="39">
        <v>5</v>
      </c>
      <c r="S165" s="39">
        <v>144</v>
      </c>
      <c r="T165" s="91">
        <v>6344133</v>
      </c>
      <c r="U165"/>
      <c r="W165"/>
      <c r="X165"/>
    </row>
    <row r="166" spans="2:24" ht="18" customHeight="1" x14ac:dyDescent="0.25">
      <c r="B166" s="411" t="str">
        <f t="shared" si="253"/>
        <v>HAROLD MONDRAGON</v>
      </c>
      <c r="C166" s="411"/>
      <c r="D166" s="23"/>
      <c r="E166" s="23"/>
      <c r="F166" s="29"/>
      <c r="G166" s="23">
        <f t="shared" si="263"/>
        <v>16</v>
      </c>
      <c r="H166" s="23">
        <f t="shared" si="264"/>
        <v>288</v>
      </c>
      <c r="I166" s="29">
        <f t="shared" si="265"/>
        <v>18</v>
      </c>
      <c r="J166" s="23"/>
      <c r="K166" s="23"/>
      <c r="L166" s="29"/>
      <c r="M166" s="416">
        <f t="shared" si="266"/>
        <v>18455024</v>
      </c>
      <c r="N166" s="417"/>
      <c r="O166" s="418"/>
      <c r="Q166" s="16" t="s">
        <v>187</v>
      </c>
      <c r="R166" s="39">
        <v>16</v>
      </c>
      <c r="S166" s="39">
        <v>288</v>
      </c>
      <c r="T166" s="91">
        <v>18455024</v>
      </c>
      <c r="U166"/>
      <c r="W166"/>
      <c r="X166"/>
    </row>
    <row r="167" spans="2:24" ht="18" customHeight="1" x14ac:dyDescent="0.25">
      <c r="B167" s="411" t="str">
        <f t="shared" si="253"/>
        <v>IVAN ALDANA</v>
      </c>
      <c r="C167" s="411"/>
      <c r="D167" s="23"/>
      <c r="E167" s="23"/>
      <c r="F167" s="29"/>
      <c r="G167" s="23">
        <f t="shared" si="263"/>
        <v>11</v>
      </c>
      <c r="H167" s="23">
        <f t="shared" si="264"/>
        <v>331</v>
      </c>
      <c r="I167" s="29">
        <f t="shared" si="265"/>
        <v>30.09090909090909</v>
      </c>
      <c r="J167" s="23"/>
      <c r="K167" s="23"/>
      <c r="L167" s="29"/>
      <c r="M167" s="416">
        <f t="shared" si="266"/>
        <v>6568398</v>
      </c>
      <c r="N167" s="417"/>
      <c r="O167" s="418"/>
      <c r="Q167" s="16" t="s">
        <v>624</v>
      </c>
      <c r="R167" s="39">
        <v>11</v>
      </c>
      <c r="S167" s="39">
        <v>331</v>
      </c>
      <c r="T167" s="91">
        <v>6568398</v>
      </c>
      <c r="U167"/>
      <c r="W167"/>
      <c r="X167"/>
    </row>
    <row r="168" spans="2:24" ht="18" customHeight="1" x14ac:dyDescent="0.25">
      <c r="B168" s="411" t="str">
        <f t="shared" si="253"/>
        <v>JUAN PABLO QUIMBAYO</v>
      </c>
      <c r="C168" s="411"/>
      <c r="D168" s="23"/>
      <c r="E168" s="23"/>
      <c r="F168" s="29"/>
      <c r="G168" s="23">
        <f t="shared" si="263"/>
        <v>9</v>
      </c>
      <c r="H168" s="23">
        <f t="shared" si="264"/>
        <v>101</v>
      </c>
      <c r="I168" s="29">
        <f t="shared" si="265"/>
        <v>11.222222222222221</v>
      </c>
      <c r="J168" s="23"/>
      <c r="K168" s="23"/>
      <c r="L168" s="29"/>
      <c r="M168" s="416">
        <f t="shared" si="266"/>
        <v>27855728</v>
      </c>
      <c r="N168" s="417"/>
      <c r="O168" s="418"/>
      <c r="Q168" s="16" t="s">
        <v>161</v>
      </c>
      <c r="R168" s="39">
        <v>9</v>
      </c>
      <c r="S168" s="39">
        <v>101</v>
      </c>
      <c r="T168" s="91">
        <v>27855728</v>
      </c>
      <c r="U168"/>
      <c r="W168"/>
      <c r="X168"/>
    </row>
    <row r="169" spans="2:24" ht="18" customHeight="1" x14ac:dyDescent="0.25">
      <c r="B169" s="411" t="str">
        <f t="shared" si="253"/>
        <v>JULIO ERAZO</v>
      </c>
      <c r="C169" s="411"/>
      <c r="D169" s="23"/>
      <c r="E169" s="23"/>
      <c r="F169" s="29"/>
      <c r="G169" s="23">
        <f t="shared" si="263"/>
        <v>4</v>
      </c>
      <c r="H169" s="23">
        <f t="shared" si="264"/>
        <v>72</v>
      </c>
      <c r="I169" s="29">
        <f t="shared" si="265"/>
        <v>18</v>
      </c>
      <c r="J169" s="23"/>
      <c r="K169" s="23"/>
      <c r="L169" s="29"/>
      <c r="M169" s="416">
        <f t="shared" si="266"/>
        <v>88</v>
      </c>
      <c r="N169" s="417"/>
      <c r="O169" s="418"/>
      <c r="Q169" s="16" t="s">
        <v>921</v>
      </c>
      <c r="R169" s="39">
        <v>4</v>
      </c>
      <c r="S169" s="39">
        <v>72</v>
      </c>
      <c r="T169" s="91">
        <v>88</v>
      </c>
      <c r="U169"/>
      <c r="W169"/>
      <c r="X169"/>
    </row>
    <row r="170" spans="2:24" ht="18" customHeight="1" x14ac:dyDescent="0.25">
      <c r="B170" s="411" t="str">
        <f t="shared" si="253"/>
        <v>JULIO GARCIA</v>
      </c>
      <c r="C170" s="411"/>
      <c r="D170" s="23"/>
      <c r="E170" s="23"/>
      <c r="F170" s="29"/>
      <c r="G170" s="23">
        <f t="shared" si="263"/>
        <v>13</v>
      </c>
      <c r="H170" s="23">
        <f t="shared" si="264"/>
        <v>339</v>
      </c>
      <c r="I170" s="29">
        <f t="shared" si="265"/>
        <v>26.076923076923077</v>
      </c>
      <c r="J170" s="23"/>
      <c r="K170" s="23"/>
      <c r="L170" s="29"/>
      <c r="M170" s="416">
        <f t="shared" si="266"/>
        <v>116101145</v>
      </c>
      <c r="N170" s="417"/>
      <c r="O170" s="418"/>
      <c r="Q170" s="16" t="s">
        <v>503</v>
      </c>
      <c r="R170" s="39">
        <v>13</v>
      </c>
      <c r="S170" s="39">
        <v>339</v>
      </c>
      <c r="T170" s="91">
        <v>116101145</v>
      </c>
      <c r="U170"/>
      <c r="W170"/>
      <c r="X170"/>
    </row>
    <row r="171" spans="2:24" ht="18" customHeight="1" x14ac:dyDescent="0.25">
      <c r="B171" s="411" t="str">
        <f t="shared" si="253"/>
        <v>LAURA PIMIENTA</v>
      </c>
      <c r="C171" s="411"/>
      <c r="D171" s="23"/>
      <c r="E171" s="23"/>
      <c r="F171" s="29"/>
      <c r="G171" s="23">
        <f t="shared" si="263"/>
        <v>6</v>
      </c>
      <c r="H171" s="23">
        <f t="shared" si="264"/>
        <v>255</v>
      </c>
      <c r="I171" s="29">
        <f t="shared" si="265"/>
        <v>42.5</v>
      </c>
      <c r="J171" s="23"/>
      <c r="K171" s="23"/>
      <c r="L171" s="29"/>
      <c r="M171" s="416">
        <f t="shared" si="266"/>
        <v>748706</v>
      </c>
      <c r="N171" s="417"/>
      <c r="O171" s="418"/>
      <c r="Q171" s="16" t="s">
        <v>777</v>
      </c>
      <c r="R171" s="39">
        <v>6</v>
      </c>
      <c r="S171" s="39">
        <v>255</v>
      </c>
      <c r="T171" s="91">
        <v>748706</v>
      </c>
      <c r="U171"/>
      <c r="W171"/>
      <c r="X171"/>
    </row>
    <row r="172" spans="2:24" ht="18" customHeight="1" x14ac:dyDescent="0.25">
      <c r="B172" s="411" t="str">
        <f t="shared" si="253"/>
        <v>LEIDY FRANCO</v>
      </c>
      <c r="C172" s="411"/>
      <c r="D172" s="23"/>
      <c r="E172" s="23"/>
      <c r="F172" s="29"/>
      <c r="G172" s="23">
        <f t="shared" ref="G172:G173" si="267">+R172</f>
        <v>7</v>
      </c>
      <c r="H172" s="23">
        <f t="shared" ref="H172:H173" si="268">+S172</f>
        <v>160</v>
      </c>
      <c r="I172" s="29">
        <f t="shared" ref="I172:I173" si="269">IF(G172=0,0,H172/G172)</f>
        <v>22.857142857142858</v>
      </c>
      <c r="J172" s="23"/>
      <c r="K172" s="23"/>
      <c r="L172" s="29"/>
      <c r="M172" s="416">
        <f t="shared" si="266"/>
        <v>27215605</v>
      </c>
      <c r="N172" s="417"/>
      <c r="O172" s="418"/>
      <c r="Q172" s="16" t="s">
        <v>337</v>
      </c>
      <c r="R172" s="39">
        <v>7</v>
      </c>
      <c r="S172" s="39">
        <v>160</v>
      </c>
      <c r="T172" s="91">
        <v>27215605</v>
      </c>
    </row>
    <row r="173" spans="2:24" ht="18" customHeight="1" x14ac:dyDescent="0.25">
      <c r="B173" s="411" t="str">
        <f t="shared" si="253"/>
        <v>LINA ECHAVARRIA</v>
      </c>
      <c r="C173" s="411"/>
      <c r="D173" s="23"/>
      <c r="E173" s="23"/>
      <c r="F173" s="29"/>
      <c r="G173" s="23">
        <f t="shared" si="267"/>
        <v>17</v>
      </c>
      <c r="H173" s="23">
        <f t="shared" si="268"/>
        <v>496</v>
      </c>
      <c r="I173" s="29">
        <f t="shared" si="269"/>
        <v>29.176470588235293</v>
      </c>
      <c r="J173" s="23"/>
      <c r="K173" s="23"/>
      <c r="L173" s="29"/>
      <c r="M173" s="416">
        <f t="shared" si="266"/>
        <v>417210839</v>
      </c>
      <c r="N173" s="417"/>
      <c r="O173" s="418"/>
      <c r="Q173" s="16" t="s">
        <v>452</v>
      </c>
      <c r="R173" s="39">
        <v>17</v>
      </c>
      <c r="S173" s="39">
        <v>496</v>
      </c>
      <c r="T173" s="91">
        <v>417210839</v>
      </c>
    </row>
    <row r="174" spans="2:24" ht="18" customHeight="1" x14ac:dyDescent="0.25">
      <c r="B174" s="411" t="str">
        <f t="shared" si="253"/>
        <v>MARIO AREVALO</v>
      </c>
      <c r="C174" s="411"/>
      <c r="D174" s="23"/>
      <c r="E174" s="23"/>
      <c r="F174" s="29"/>
      <c r="G174" s="23">
        <f t="shared" ref="G174" si="270">+R174</f>
        <v>5</v>
      </c>
      <c r="H174" s="23">
        <f t="shared" ref="H174" si="271">+S174</f>
        <v>105</v>
      </c>
      <c r="I174" s="29">
        <f t="shared" ref="I174" si="272">IF(G174=0,0,H174/G174)</f>
        <v>21</v>
      </c>
      <c r="J174" s="23"/>
      <c r="K174" s="23"/>
      <c r="L174" s="29"/>
      <c r="M174" s="416">
        <f t="shared" si="266"/>
        <v>40384236</v>
      </c>
      <c r="N174" s="417"/>
      <c r="O174" s="418"/>
      <c r="Q174" s="16" t="s">
        <v>401</v>
      </c>
      <c r="R174" s="39">
        <v>5</v>
      </c>
      <c r="S174" s="39">
        <v>105</v>
      </c>
      <c r="T174" s="91">
        <v>40384236</v>
      </c>
    </row>
    <row r="175" spans="2:24" ht="18.600000000000001" customHeight="1" x14ac:dyDescent="0.25">
      <c r="B175" s="411" t="str">
        <f t="shared" ref="B175" si="273">+Q175</f>
        <v>PABLO CAICEDO</v>
      </c>
      <c r="C175" s="411"/>
      <c r="D175" s="23"/>
      <c r="E175" s="23"/>
      <c r="F175" s="29"/>
      <c r="G175" s="23">
        <f t="shared" ref="G175:G182" si="274">+R175</f>
        <v>9</v>
      </c>
      <c r="H175" s="23">
        <f t="shared" ref="H175:H182" si="275">+S175</f>
        <v>110</v>
      </c>
      <c r="I175" s="29">
        <f t="shared" ref="I175:I182" si="276">IF(G175=0,0,H175/G175)</f>
        <v>12.222222222222221</v>
      </c>
      <c r="J175" s="23"/>
      <c r="K175" s="23"/>
      <c r="L175" s="29"/>
      <c r="M175" s="416">
        <f t="shared" si="266"/>
        <v>32283746</v>
      </c>
      <c r="N175" s="417"/>
      <c r="O175" s="418"/>
      <c r="Q175" s="16" t="s">
        <v>206</v>
      </c>
      <c r="R175" s="39">
        <v>9</v>
      </c>
      <c r="S175" s="39">
        <v>110</v>
      </c>
      <c r="T175" s="91">
        <v>32283746</v>
      </c>
    </row>
    <row r="176" spans="2:24" ht="18" customHeight="1" x14ac:dyDescent="0.25">
      <c r="B176" s="411" t="str">
        <f t="shared" ref="B176:B182" si="277">+Q176</f>
        <v>PAOLA BELTRAN</v>
      </c>
      <c r="C176" s="411"/>
      <c r="D176" s="23"/>
      <c r="E176" s="23"/>
      <c r="F176" s="29"/>
      <c r="G176" s="23">
        <f t="shared" si="274"/>
        <v>24</v>
      </c>
      <c r="H176" s="23">
        <f t="shared" si="275"/>
        <v>687</v>
      </c>
      <c r="I176" s="29">
        <f t="shared" si="276"/>
        <v>28.625</v>
      </c>
      <c r="J176" s="23"/>
      <c r="K176" s="23"/>
      <c r="L176" s="29"/>
      <c r="M176" s="416">
        <f t="shared" si="266"/>
        <v>209873618</v>
      </c>
      <c r="N176" s="417"/>
      <c r="O176" s="418"/>
      <c r="Q176" s="16" t="s">
        <v>312</v>
      </c>
      <c r="R176" s="39">
        <v>24</v>
      </c>
      <c r="S176" s="39">
        <v>687</v>
      </c>
      <c r="T176" s="91">
        <v>209873618</v>
      </c>
    </row>
    <row r="177" spans="2:20" ht="18" customHeight="1" x14ac:dyDescent="0.25">
      <c r="B177" s="411" t="str">
        <f t="shared" si="277"/>
        <v>SILVIA GALINDO</v>
      </c>
      <c r="C177" s="411"/>
      <c r="D177" s="23"/>
      <c r="E177" s="23"/>
      <c r="F177" s="29"/>
      <c r="G177" s="23">
        <f t="shared" si="274"/>
        <v>2</v>
      </c>
      <c r="H177" s="23">
        <f t="shared" si="275"/>
        <v>36</v>
      </c>
      <c r="I177" s="29">
        <f t="shared" si="276"/>
        <v>18</v>
      </c>
      <c r="J177" s="23"/>
      <c r="K177" s="23"/>
      <c r="L177" s="29"/>
      <c r="M177" s="416">
        <f t="shared" si="266"/>
        <v>0</v>
      </c>
      <c r="N177" s="417"/>
      <c r="O177" s="418"/>
      <c r="Q177" s="16" t="s">
        <v>551</v>
      </c>
      <c r="R177" s="39">
        <v>2</v>
      </c>
      <c r="S177" s="39">
        <v>36</v>
      </c>
      <c r="T177" s="91">
        <v>0</v>
      </c>
    </row>
    <row r="178" spans="2:20" ht="18" customHeight="1" x14ac:dyDescent="0.25">
      <c r="B178" s="411" t="str">
        <f t="shared" si="277"/>
        <v>VIAGNERY LOPEZ</v>
      </c>
      <c r="C178" s="411"/>
      <c r="D178" s="23"/>
      <c r="E178" s="23"/>
      <c r="F178" s="29"/>
      <c r="G178" s="23">
        <f t="shared" si="274"/>
        <v>10</v>
      </c>
      <c r="H178" s="23">
        <f t="shared" si="275"/>
        <v>122</v>
      </c>
      <c r="I178" s="29">
        <f t="shared" si="276"/>
        <v>12.2</v>
      </c>
      <c r="J178" s="23"/>
      <c r="K178" s="23"/>
      <c r="L178" s="29"/>
      <c r="M178" s="416">
        <f t="shared" si="266"/>
        <v>11752418</v>
      </c>
      <c r="N178" s="417"/>
      <c r="O178" s="418"/>
      <c r="Q178" s="16" t="s">
        <v>213</v>
      </c>
      <c r="R178" s="39">
        <v>10</v>
      </c>
      <c r="S178" s="39">
        <v>122</v>
      </c>
      <c r="T178" s="91">
        <v>11752418</v>
      </c>
    </row>
    <row r="179" spans="2:20" ht="18" customHeight="1" x14ac:dyDescent="0.25">
      <c r="B179" s="411" t="str">
        <f t="shared" si="277"/>
        <v xml:space="preserve">JHON LARRY </v>
      </c>
      <c r="C179" s="411"/>
      <c r="D179" s="23"/>
      <c r="E179" s="23"/>
      <c r="F179" s="29"/>
      <c r="G179" s="23">
        <f t="shared" si="274"/>
        <v>16</v>
      </c>
      <c r="H179" s="23">
        <f t="shared" si="275"/>
        <v>474</v>
      </c>
      <c r="I179" s="29">
        <f t="shared" si="276"/>
        <v>29.625</v>
      </c>
      <c r="J179" s="23"/>
      <c r="K179" s="23"/>
      <c r="L179" s="29"/>
      <c r="M179" s="416">
        <f t="shared" si="266"/>
        <v>15230313</v>
      </c>
      <c r="N179" s="417"/>
      <c r="O179" s="418"/>
      <c r="Q179" s="16" t="s">
        <v>572</v>
      </c>
      <c r="R179" s="39">
        <v>16</v>
      </c>
      <c r="S179" s="39">
        <v>474</v>
      </c>
      <c r="T179" s="91">
        <v>15230313</v>
      </c>
    </row>
    <row r="180" spans="2:20" ht="18" customHeight="1" x14ac:dyDescent="0.25">
      <c r="B180" s="411" t="str">
        <f t="shared" si="277"/>
        <v>JUAN DAVID GOMEZ</v>
      </c>
      <c r="C180" s="411"/>
      <c r="D180" s="23"/>
      <c r="E180" s="23"/>
      <c r="F180" s="29"/>
      <c r="G180" s="23">
        <f t="shared" si="274"/>
        <v>3</v>
      </c>
      <c r="H180" s="23">
        <f t="shared" si="275"/>
        <v>119</v>
      </c>
      <c r="I180" s="29">
        <f t="shared" si="276"/>
        <v>39.666666666666664</v>
      </c>
      <c r="J180" s="23"/>
      <c r="K180" s="23"/>
      <c r="L180" s="29"/>
      <c r="M180" s="416">
        <f t="shared" si="266"/>
        <v>0</v>
      </c>
      <c r="N180" s="417"/>
      <c r="O180" s="418"/>
      <c r="Q180" s="16" t="s">
        <v>1357</v>
      </c>
      <c r="R180" s="39">
        <v>3</v>
      </c>
      <c r="S180" s="39">
        <v>119</v>
      </c>
      <c r="T180" s="91">
        <v>0</v>
      </c>
    </row>
    <row r="181" spans="2:20" ht="18" customHeight="1" x14ac:dyDescent="0.25">
      <c r="B181" s="411" t="str">
        <f t="shared" si="277"/>
        <v>DIEGO PATIÑO</v>
      </c>
      <c r="C181" s="411"/>
      <c r="D181" s="23"/>
      <c r="E181" s="23"/>
      <c r="F181" s="29"/>
      <c r="G181" s="23">
        <f t="shared" si="274"/>
        <v>2</v>
      </c>
      <c r="H181" s="23">
        <f t="shared" si="275"/>
        <v>108</v>
      </c>
      <c r="I181" s="29">
        <f t="shared" si="276"/>
        <v>54</v>
      </c>
      <c r="J181" s="23"/>
      <c r="K181" s="23"/>
      <c r="L181" s="29"/>
      <c r="M181" s="416">
        <f t="shared" si="266"/>
        <v>1129786</v>
      </c>
      <c r="N181" s="417"/>
      <c r="O181" s="418"/>
      <c r="Q181" s="16" t="s">
        <v>1363</v>
      </c>
      <c r="R181" s="39">
        <v>2</v>
      </c>
      <c r="S181" s="39">
        <v>108</v>
      </c>
      <c r="T181" s="91">
        <v>1129786</v>
      </c>
    </row>
    <row r="182" spans="2:20" ht="18" customHeight="1" x14ac:dyDescent="0.25">
      <c r="B182" s="411" t="str">
        <f t="shared" si="277"/>
        <v>JULIETA ORTIZ</v>
      </c>
      <c r="C182" s="411"/>
      <c r="D182" s="23"/>
      <c r="E182" s="23"/>
      <c r="F182" s="29"/>
      <c r="G182" s="23">
        <f t="shared" si="274"/>
        <v>7</v>
      </c>
      <c r="H182" s="23">
        <f t="shared" si="275"/>
        <v>232</v>
      </c>
      <c r="I182" s="29">
        <f t="shared" si="276"/>
        <v>33.142857142857146</v>
      </c>
      <c r="J182" s="23"/>
      <c r="K182" s="23"/>
      <c r="L182" s="29"/>
      <c r="M182" s="416">
        <f t="shared" si="266"/>
        <v>48988767</v>
      </c>
      <c r="N182" s="417"/>
      <c r="O182" s="418"/>
      <c r="Q182" s="16" t="s">
        <v>1904</v>
      </c>
      <c r="R182" s="39">
        <v>7</v>
      </c>
      <c r="S182" s="39">
        <v>232</v>
      </c>
      <c r="T182" s="91">
        <v>48988767</v>
      </c>
    </row>
    <row r="183" spans="2:20" ht="18" customHeight="1" x14ac:dyDescent="0.25">
      <c r="B183" s="411" t="str">
        <f t="shared" ref="B183" si="278">+Q183</f>
        <v>NINFA SANTANA</v>
      </c>
      <c r="C183" s="411"/>
      <c r="D183" s="23"/>
      <c r="E183" s="23"/>
      <c r="F183" s="29"/>
      <c r="G183" s="23">
        <f t="shared" ref="G183" si="279">+R183</f>
        <v>4</v>
      </c>
      <c r="H183" s="23">
        <f t="shared" ref="H183" si="280">+S183</f>
        <v>115</v>
      </c>
      <c r="I183" s="29">
        <f t="shared" ref="I183" si="281">IF(G183=0,0,H183/G183)</f>
        <v>28.75</v>
      </c>
      <c r="J183" s="23"/>
      <c r="K183" s="23"/>
      <c r="L183" s="29"/>
      <c r="M183" s="416">
        <f t="shared" si="266"/>
        <v>298167</v>
      </c>
      <c r="N183" s="417"/>
      <c r="O183" s="418"/>
      <c r="Q183" s="16" t="s">
        <v>2484</v>
      </c>
      <c r="R183" s="39">
        <v>4</v>
      </c>
      <c r="S183" s="39">
        <v>115</v>
      </c>
      <c r="T183" s="91">
        <v>298167</v>
      </c>
    </row>
    <row r="184" spans="2:20" ht="18" customHeight="1" x14ac:dyDescent="0.25">
      <c r="B184" s="411" t="str">
        <f t="shared" ref="B184" si="282">+Q184</f>
        <v>JESSICA ROJAS</v>
      </c>
      <c r="C184" s="411"/>
      <c r="D184" s="23"/>
      <c r="E184" s="23"/>
      <c r="F184" s="29"/>
      <c r="G184" s="23">
        <f t="shared" ref="G184" si="283">+R184</f>
        <v>1</v>
      </c>
      <c r="H184" s="23">
        <f t="shared" ref="H184" si="284">+S184</f>
        <v>46</v>
      </c>
      <c r="I184" s="29">
        <f t="shared" ref="I184" si="285">IF(G184=0,0,H184/G184)</f>
        <v>46</v>
      </c>
      <c r="J184" s="23"/>
      <c r="K184" s="23"/>
      <c r="L184" s="29"/>
      <c r="M184" s="416">
        <f t="shared" si="266"/>
        <v>0</v>
      </c>
      <c r="N184" s="417"/>
      <c r="O184" s="418"/>
      <c r="Q184" s="16" t="s">
        <v>2527</v>
      </c>
      <c r="R184" s="39">
        <v>1</v>
      </c>
      <c r="S184" s="39">
        <v>46</v>
      </c>
      <c r="T184" s="91">
        <v>0</v>
      </c>
    </row>
    <row r="185" spans="2:20" ht="18" customHeight="1" x14ac:dyDescent="0.25">
      <c r="B185" s="411" t="str">
        <f t="shared" ref="B185" si="286">+Q185</f>
        <v>MARIA CAMILA OLIVEROS</v>
      </c>
      <c r="C185" s="411"/>
      <c r="D185" s="23"/>
      <c r="E185" s="23"/>
      <c r="F185" s="29"/>
      <c r="G185" s="23">
        <f t="shared" ref="G185" si="287">+R185</f>
        <v>1</v>
      </c>
      <c r="H185" s="23">
        <f t="shared" ref="H185" si="288">+S185</f>
        <v>28</v>
      </c>
      <c r="I185" s="29">
        <f t="shared" ref="I185" si="289">IF(G185=0,0,H185/G185)</f>
        <v>28</v>
      </c>
      <c r="J185" s="23"/>
      <c r="K185" s="23"/>
      <c r="L185" s="29"/>
      <c r="M185" s="416">
        <f t="shared" si="266"/>
        <v>0</v>
      </c>
      <c r="N185" s="417"/>
      <c r="O185" s="418"/>
      <c r="Q185" s="16" t="s">
        <v>2842</v>
      </c>
      <c r="R185" s="39">
        <v>1</v>
      </c>
      <c r="S185" s="39">
        <v>28</v>
      </c>
      <c r="T185" s="91">
        <v>0</v>
      </c>
    </row>
    <row r="186" spans="2:20" ht="18" customHeight="1" x14ac:dyDescent="0.25">
      <c r="B186" s="411" t="str">
        <f t="shared" ref="B186" si="290">+Q186</f>
        <v>CAMILO NUÑEZ</v>
      </c>
      <c r="C186" s="411"/>
      <c r="D186" s="23"/>
      <c r="E186" s="23"/>
      <c r="F186" s="29"/>
      <c r="G186" s="23">
        <f t="shared" ref="G186" si="291">+R186</f>
        <v>3</v>
      </c>
      <c r="H186" s="23">
        <f t="shared" ref="H186" si="292">+S186</f>
        <v>98</v>
      </c>
      <c r="I186" s="29">
        <f t="shared" ref="I186" si="293">IF(G186=0,0,H186/G186)</f>
        <v>32.666666666666664</v>
      </c>
      <c r="J186" s="23"/>
      <c r="K186" s="23"/>
      <c r="L186" s="29"/>
      <c r="M186" s="416">
        <f t="shared" si="266"/>
        <v>1185300</v>
      </c>
      <c r="N186" s="417"/>
      <c r="O186" s="418"/>
      <c r="Q186" s="16" t="s">
        <v>2849</v>
      </c>
      <c r="R186" s="39">
        <v>3</v>
      </c>
      <c r="S186" s="39">
        <v>98</v>
      </c>
      <c r="T186" s="91">
        <v>1185300</v>
      </c>
    </row>
    <row r="187" spans="2:20" ht="18" customHeight="1" x14ac:dyDescent="0.25">
      <c r="B187" s="411" t="str">
        <f t="shared" ref="B187" si="294">+Q187</f>
        <v>LAURA ANGEL</v>
      </c>
      <c r="C187" s="411"/>
      <c r="D187" s="23"/>
      <c r="E187" s="23"/>
      <c r="F187" s="29"/>
      <c r="G187" s="23">
        <f t="shared" ref="G187" si="295">+R187</f>
        <v>4</v>
      </c>
      <c r="H187" s="23">
        <f t="shared" ref="H187" si="296">+S187</f>
        <v>76</v>
      </c>
      <c r="I187" s="29">
        <f t="shared" ref="I187" si="297">IF(G187=0,0,H187/G187)</f>
        <v>19</v>
      </c>
      <c r="J187" s="23"/>
      <c r="K187" s="23"/>
      <c r="L187" s="29"/>
      <c r="M187" s="416">
        <f t="shared" si="266"/>
        <v>1131115</v>
      </c>
      <c r="N187" s="417"/>
      <c r="O187" s="418"/>
      <c r="Q187" s="16" t="s">
        <v>2889</v>
      </c>
      <c r="R187" s="39">
        <v>4</v>
      </c>
      <c r="S187" s="39">
        <v>76</v>
      </c>
      <c r="T187" s="91">
        <v>1131115</v>
      </c>
    </row>
    <row r="188" spans="2:20" ht="18" customHeight="1" x14ac:dyDescent="0.25">
      <c r="B188" s="411" t="str">
        <f t="shared" ref="B188" si="298">+Q188</f>
        <v>CARLOS RODRIGUEZ</v>
      </c>
      <c r="C188" s="411"/>
      <c r="D188" s="23"/>
      <c r="E188" s="23"/>
      <c r="F188" s="29"/>
      <c r="G188" s="23">
        <f t="shared" ref="G188" si="299">+R188</f>
        <v>3</v>
      </c>
      <c r="H188" s="23">
        <f t="shared" ref="H188" si="300">+S188</f>
        <v>99</v>
      </c>
      <c r="I188" s="29">
        <f t="shared" ref="I188" si="301">IF(G188=0,0,H188/G188)</f>
        <v>33</v>
      </c>
      <c r="J188" s="23"/>
      <c r="K188" s="23"/>
      <c r="L188" s="29"/>
      <c r="M188" s="416">
        <f t="shared" si="266"/>
        <v>1063593</v>
      </c>
      <c r="N188" s="417"/>
      <c r="O188" s="418"/>
      <c r="Q188" s="16" t="s">
        <v>2941</v>
      </c>
      <c r="R188" s="39">
        <v>3</v>
      </c>
      <c r="S188" s="39">
        <v>99</v>
      </c>
      <c r="T188" s="91">
        <v>1063593</v>
      </c>
    </row>
    <row r="189" spans="2:20" ht="18" customHeight="1" x14ac:dyDescent="0.25">
      <c r="B189" s="411" t="str">
        <f t="shared" ref="B189" si="302">+Q189</f>
        <v>AMPARO RENGIFO</v>
      </c>
      <c r="C189" s="411"/>
      <c r="D189" s="23"/>
      <c r="E189" s="23"/>
      <c r="F189" s="23"/>
      <c r="G189" s="23">
        <f t="shared" ref="G189" si="303">+R189</f>
        <v>1</v>
      </c>
      <c r="H189" s="23">
        <f t="shared" ref="H189" si="304">+S189</f>
        <v>25</v>
      </c>
      <c r="I189" s="29">
        <f t="shared" ref="I189" si="305">IF(G189=0,0,H189/G189)</f>
        <v>25</v>
      </c>
      <c r="J189" s="23"/>
      <c r="K189" s="23"/>
      <c r="L189" s="29"/>
      <c r="M189" s="416">
        <f t="shared" ref="M189" si="306">+T189</f>
        <v>90</v>
      </c>
      <c r="N189" s="417"/>
      <c r="O189" s="418"/>
      <c r="Q189" s="16" t="s">
        <v>3822</v>
      </c>
      <c r="R189" s="39">
        <v>1</v>
      </c>
      <c r="S189" s="39">
        <v>25</v>
      </c>
      <c r="T189" s="91">
        <v>90</v>
      </c>
    </row>
    <row r="190" spans="2:20" ht="18" customHeight="1" x14ac:dyDescent="0.25">
      <c r="B190" s="411" t="str">
        <f t="shared" ref="B190" si="307">+Q190</f>
        <v>JULIO ERNESTO GARCIA</v>
      </c>
      <c r="C190" s="411"/>
      <c r="D190" s="23"/>
      <c r="E190" s="23"/>
      <c r="F190" s="29"/>
      <c r="G190" s="23">
        <f t="shared" ref="G190" si="308">+R190</f>
        <v>1</v>
      </c>
      <c r="H190" s="23">
        <f t="shared" ref="H190" si="309">+S190</f>
        <v>56</v>
      </c>
      <c r="I190" s="29">
        <f t="shared" ref="I190" si="310">IF(G190=0,0,H190/G190)</f>
        <v>56</v>
      </c>
      <c r="J190" s="23"/>
      <c r="K190" s="23"/>
      <c r="L190" s="29"/>
      <c r="M190" s="416">
        <f t="shared" ref="M190" si="311">+T190</f>
        <v>392640</v>
      </c>
      <c r="N190" s="417"/>
      <c r="O190" s="418"/>
      <c r="Q190" s="16" t="s">
        <v>4082</v>
      </c>
      <c r="R190" s="39">
        <v>1</v>
      </c>
      <c r="S190" s="39">
        <v>56</v>
      </c>
      <c r="T190" s="91">
        <v>392640</v>
      </c>
    </row>
    <row r="191" spans="2:20" ht="18" customHeight="1" x14ac:dyDescent="0.25">
      <c r="B191" s="412" t="str">
        <f t="shared" ref="B191" si="312">+Q191</f>
        <v>AYDEE OVALLE</v>
      </c>
      <c r="C191" s="412"/>
      <c r="D191" s="32"/>
      <c r="E191" s="32"/>
      <c r="F191" s="33"/>
      <c r="G191" s="32"/>
      <c r="H191" s="32"/>
      <c r="I191" s="33"/>
      <c r="J191" s="32">
        <f t="shared" ref="J191:J194" si="313">+R191</f>
        <v>3</v>
      </c>
      <c r="K191" s="32">
        <f t="shared" ref="K191:K194" si="314">+S191</f>
        <v>71</v>
      </c>
      <c r="L191" s="33">
        <f t="shared" ref="L191:L194" si="315">IF(J191=0,0,K191/J191)</f>
        <v>23.666666666666668</v>
      </c>
      <c r="M191" s="413">
        <f t="shared" ref="M191" si="316">+T191</f>
        <v>2234289</v>
      </c>
      <c r="N191" s="414"/>
      <c r="O191" s="415"/>
      <c r="Q191" s="16" t="s">
        <v>151</v>
      </c>
      <c r="R191" s="39">
        <v>3</v>
      </c>
      <c r="S191" s="39">
        <v>71</v>
      </c>
      <c r="T191" s="91">
        <v>2234289</v>
      </c>
    </row>
    <row r="192" spans="2:20" ht="18" customHeight="1" x14ac:dyDescent="0.25">
      <c r="B192" s="412" t="str">
        <f t="shared" ref="B192" si="317">+Q192</f>
        <v>CENELIA CRUZ</v>
      </c>
      <c r="C192" s="412"/>
      <c r="D192" s="32"/>
      <c r="E192" s="32"/>
      <c r="F192" s="33"/>
      <c r="G192" s="32"/>
      <c r="H192" s="32"/>
      <c r="I192" s="33"/>
      <c r="J192" s="32">
        <f t="shared" si="313"/>
        <v>3</v>
      </c>
      <c r="K192" s="32">
        <f t="shared" si="314"/>
        <v>125</v>
      </c>
      <c r="L192" s="33">
        <f t="shared" si="315"/>
        <v>41.666666666666664</v>
      </c>
      <c r="M192" s="413">
        <f t="shared" ref="M192" si="318">+T192</f>
        <v>1748314</v>
      </c>
      <c r="N192" s="414"/>
      <c r="O192" s="415"/>
      <c r="Q192" s="16" t="s">
        <v>34</v>
      </c>
      <c r="R192" s="39">
        <v>3</v>
      </c>
      <c r="S192" s="39">
        <v>125</v>
      </c>
      <c r="T192" s="91">
        <v>1748314</v>
      </c>
    </row>
    <row r="193" spans="2:20" ht="18" customHeight="1" x14ac:dyDescent="0.25">
      <c r="B193" s="412" t="str">
        <f t="shared" ref="B193" si="319">+Q193</f>
        <v>ESTEFANIA SANCHEZ</v>
      </c>
      <c r="C193" s="412"/>
      <c r="D193" s="32"/>
      <c r="E193" s="32"/>
      <c r="F193" s="33"/>
      <c r="G193" s="32"/>
      <c r="H193" s="32"/>
      <c r="I193" s="33"/>
      <c r="J193" s="32">
        <f t="shared" si="313"/>
        <v>13</v>
      </c>
      <c r="K193" s="32">
        <f t="shared" si="314"/>
        <v>642</v>
      </c>
      <c r="L193" s="33">
        <f t="shared" si="315"/>
        <v>49.384615384615387</v>
      </c>
      <c r="M193" s="413">
        <f t="shared" ref="M193" si="320">+T193</f>
        <v>496314863.12631619</v>
      </c>
      <c r="N193" s="414"/>
      <c r="O193" s="415"/>
      <c r="Q193" s="16" t="s">
        <v>35</v>
      </c>
      <c r="R193" s="39">
        <v>13</v>
      </c>
      <c r="S193" s="39">
        <v>642</v>
      </c>
      <c r="T193" s="91">
        <v>496314863.12631619</v>
      </c>
    </row>
    <row r="194" spans="2:20" ht="18" customHeight="1" x14ac:dyDescent="0.25">
      <c r="B194" s="412" t="str">
        <f t="shared" ref="B194" si="321">+Q194</f>
        <v>FRANCIA RAMÍREZ</v>
      </c>
      <c r="C194" s="412"/>
      <c r="D194" s="32"/>
      <c r="E194" s="32"/>
      <c r="F194" s="33"/>
      <c r="G194" s="32"/>
      <c r="H194" s="32"/>
      <c r="I194" s="33"/>
      <c r="J194" s="32">
        <f t="shared" si="313"/>
        <v>17</v>
      </c>
      <c r="K194" s="32">
        <f t="shared" si="314"/>
        <v>1073</v>
      </c>
      <c r="L194" s="33">
        <f t="shared" si="315"/>
        <v>63.117647058823529</v>
      </c>
      <c r="M194" s="413">
        <f t="shared" ref="M194" si="322">+T194</f>
        <v>325195234</v>
      </c>
      <c r="N194" s="414"/>
      <c r="O194" s="415"/>
      <c r="Q194" s="16" t="s">
        <v>42</v>
      </c>
      <c r="R194" s="39">
        <v>17</v>
      </c>
      <c r="S194" s="39">
        <v>1073</v>
      </c>
      <c r="T194" s="91">
        <v>325195234</v>
      </c>
    </row>
    <row r="195" spans="2:20" ht="18" customHeight="1" x14ac:dyDescent="0.25">
      <c r="B195" s="412" t="str">
        <f t="shared" ref="B195" si="323">+Q195</f>
        <v>LINA ECHAVARRIA</v>
      </c>
      <c r="C195" s="412"/>
      <c r="D195" s="32"/>
      <c r="E195" s="32"/>
      <c r="F195" s="33"/>
      <c r="G195" s="32"/>
      <c r="H195" s="32"/>
      <c r="I195" s="33"/>
      <c r="J195" s="32">
        <f t="shared" ref="J195" si="324">+R195</f>
        <v>1</v>
      </c>
      <c r="K195" s="32">
        <f t="shared" ref="K195" si="325">+S195</f>
        <v>106</v>
      </c>
      <c r="L195" s="33">
        <f t="shared" ref="L195" si="326">IF(J195=0,0,K195/J195)</f>
        <v>106</v>
      </c>
      <c r="M195" s="413">
        <f t="shared" ref="M195" si="327">+T195</f>
        <v>2487576</v>
      </c>
      <c r="N195" s="414"/>
      <c r="O195" s="415"/>
      <c r="Q195" s="16" t="s">
        <v>452</v>
      </c>
      <c r="R195" s="39">
        <v>1</v>
      </c>
      <c r="S195" s="39">
        <v>106</v>
      </c>
      <c r="T195" s="91">
        <v>2487576</v>
      </c>
    </row>
    <row r="196" spans="2:20" ht="18" customHeight="1" x14ac:dyDescent="0.25">
      <c r="B196" s="412" t="str">
        <f t="shared" ref="B196" si="328">+Q196</f>
        <v>LUCY ARBELAEZ</v>
      </c>
      <c r="C196" s="412"/>
      <c r="D196" s="32"/>
      <c r="E196" s="32"/>
      <c r="F196" s="33"/>
      <c r="G196" s="32"/>
      <c r="H196" s="32"/>
      <c r="I196" s="33"/>
      <c r="J196" s="32">
        <f t="shared" ref="J196" si="329">+R196</f>
        <v>33</v>
      </c>
      <c r="K196" s="32">
        <f t="shared" ref="K196" si="330">+S196</f>
        <v>1713</v>
      </c>
      <c r="L196" s="33">
        <f t="shared" ref="L196" si="331">IF(J196=0,0,K196/J196)</f>
        <v>51.909090909090907</v>
      </c>
      <c r="M196" s="413">
        <f t="shared" ref="M196" si="332">+T196</f>
        <v>1700862994.6000001</v>
      </c>
      <c r="N196" s="414"/>
      <c r="O196" s="415"/>
      <c r="Q196" s="16" t="s">
        <v>29</v>
      </c>
      <c r="R196" s="39">
        <v>33</v>
      </c>
      <c r="S196" s="39">
        <v>1713</v>
      </c>
      <c r="T196" s="91">
        <v>1700862994.6000001</v>
      </c>
    </row>
    <row r="197" spans="2:20" ht="18" customHeight="1" x14ac:dyDescent="0.25">
      <c r="B197" s="488" t="s">
        <v>82</v>
      </c>
      <c r="C197" s="488"/>
      <c r="D197" s="50">
        <f>SUM(D151:D196)</f>
        <v>53</v>
      </c>
      <c r="E197" s="50">
        <f>SUM(E151:E196)</f>
        <v>5224</v>
      </c>
      <c r="F197" s="51">
        <f>+E197/D197</f>
        <v>98.566037735849051</v>
      </c>
      <c r="G197" s="50">
        <f>SUM(G151:G196)</f>
        <v>217</v>
      </c>
      <c r="H197" s="50">
        <f>SUM(H151:H196)</f>
        <v>5606</v>
      </c>
      <c r="I197" s="51">
        <f>+H197/G197</f>
        <v>25.83410138248848</v>
      </c>
      <c r="J197" s="50">
        <f>SUM(J151:J196)</f>
        <v>70</v>
      </c>
      <c r="K197" s="50">
        <f>SUM(K151:K196)</f>
        <v>3730</v>
      </c>
      <c r="L197" s="51">
        <f>+K197/J197</f>
        <v>53.285714285714285</v>
      </c>
      <c r="M197" s="422">
        <f>SUM(M151:O196)</f>
        <v>5020251365.7263165</v>
      </c>
      <c r="N197" s="423"/>
      <c r="O197" s="424"/>
    </row>
  </sheetData>
  <mergeCells count="545">
    <mergeCell ref="C142:E142"/>
    <mergeCell ref="F142:H142"/>
    <mergeCell ref="I142:K142"/>
    <mergeCell ref="L142:M142"/>
    <mergeCell ref="B196:C196"/>
    <mergeCell ref="M196:O196"/>
    <mergeCell ref="S51:T51"/>
    <mergeCell ref="C107:E107"/>
    <mergeCell ref="F107:H107"/>
    <mergeCell ref="I107:K107"/>
    <mergeCell ref="L107:M107"/>
    <mergeCell ref="C124:E124"/>
    <mergeCell ref="F124:H124"/>
    <mergeCell ref="I124:K124"/>
    <mergeCell ref="L124:M124"/>
    <mergeCell ref="C141:E141"/>
    <mergeCell ref="F141:H141"/>
    <mergeCell ref="I141:K141"/>
    <mergeCell ref="L141:M141"/>
    <mergeCell ref="B195:C195"/>
    <mergeCell ref="M195:O195"/>
    <mergeCell ref="C53:T54"/>
    <mergeCell ref="B53:B54"/>
    <mergeCell ref="B92:K92"/>
    <mergeCell ref="D34:E34"/>
    <mergeCell ref="G34:H34"/>
    <mergeCell ref="J34:K34"/>
    <mergeCell ref="M34:N34"/>
    <mergeCell ref="P34:Q34"/>
    <mergeCell ref="D51:E51"/>
    <mergeCell ref="G51:H51"/>
    <mergeCell ref="J51:K51"/>
    <mergeCell ref="M51:N51"/>
    <mergeCell ref="P51:Q51"/>
    <mergeCell ref="G43:H43"/>
    <mergeCell ref="G46:H46"/>
    <mergeCell ref="J46:K46"/>
    <mergeCell ref="M46:N46"/>
    <mergeCell ref="D48:E48"/>
    <mergeCell ref="G48:H48"/>
    <mergeCell ref="J48:K48"/>
    <mergeCell ref="M48:N48"/>
    <mergeCell ref="D41:E41"/>
    <mergeCell ref="G42:H42"/>
    <mergeCell ref="J42:K42"/>
    <mergeCell ref="M42:N42"/>
    <mergeCell ref="D45:E45"/>
    <mergeCell ref="G45:H45"/>
    <mergeCell ref="B128:M128"/>
    <mergeCell ref="B192:C192"/>
    <mergeCell ref="M192:O192"/>
    <mergeCell ref="B193:C193"/>
    <mergeCell ref="M193:O193"/>
    <mergeCell ref="B194:C194"/>
    <mergeCell ref="M194:O194"/>
    <mergeCell ref="C140:E140"/>
    <mergeCell ref="F140:H140"/>
    <mergeCell ref="I140:K140"/>
    <mergeCell ref="L140:M140"/>
    <mergeCell ref="B189:C189"/>
    <mergeCell ref="M189:O189"/>
    <mergeCell ref="B190:C190"/>
    <mergeCell ref="M190:O190"/>
    <mergeCell ref="B191:C191"/>
    <mergeCell ref="M191:O191"/>
    <mergeCell ref="M153:O153"/>
    <mergeCell ref="B164:C164"/>
    <mergeCell ref="M159:O159"/>
    <mergeCell ref="D149:F149"/>
    <mergeCell ref="B162:C162"/>
    <mergeCell ref="B153:C153"/>
    <mergeCell ref="M182:O182"/>
    <mergeCell ref="D33:E33"/>
    <mergeCell ref="G33:H33"/>
    <mergeCell ref="J33:K33"/>
    <mergeCell ref="M33:N33"/>
    <mergeCell ref="P33:Q33"/>
    <mergeCell ref="P50:Q50"/>
    <mergeCell ref="S50:T50"/>
    <mergeCell ref="C106:E106"/>
    <mergeCell ref="F106:H106"/>
    <mergeCell ref="I106:K106"/>
    <mergeCell ref="L106:M106"/>
    <mergeCell ref="S52:T52"/>
    <mergeCell ref="M52:N52"/>
    <mergeCell ref="S49:T49"/>
    <mergeCell ref="S46:T46"/>
    <mergeCell ref="S48:T48"/>
    <mergeCell ref="S44:T44"/>
    <mergeCell ref="P47:Q47"/>
    <mergeCell ref="P46:Q46"/>
    <mergeCell ref="S45:T45"/>
    <mergeCell ref="S41:T41"/>
    <mergeCell ref="S42:T42"/>
    <mergeCell ref="P39:Q39"/>
    <mergeCell ref="D43:E43"/>
    <mergeCell ref="B188:C188"/>
    <mergeCell ref="M188:O188"/>
    <mergeCell ref="B176:C176"/>
    <mergeCell ref="M176:O176"/>
    <mergeCell ref="B177:C177"/>
    <mergeCell ref="M177:O177"/>
    <mergeCell ref="B178:C178"/>
    <mergeCell ref="M178:O178"/>
    <mergeCell ref="B179:C179"/>
    <mergeCell ref="M179:O179"/>
    <mergeCell ref="B180:C180"/>
    <mergeCell ref="M180:O180"/>
    <mergeCell ref="B186:C186"/>
    <mergeCell ref="M186:O186"/>
    <mergeCell ref="B187:C187"/>
    <mergeCell ref="M187:O187"/>
    <mergeCell ref="B185:C185"/>
    <mergeCell ref="M183:O183"/>
    <mergeCell ref="M185:O185"/>
    <mergeCell ref="B184:C184"/>
    <mergeCell ref="B183:C183"/>
    <mergeCell ref="B181:C181"/>
    <mergeCell ref="M181:O181"/>
    <mergeCell ref="B182:C182"/>
    <mergeCell ref="G14:H14"/>
    <mergeCell ref="J14:K14"/>
    <mergeCell ref="M14:N14"/>
    <mergeCell ref="P14:Q14"/>
    <mergeCell ref="D32:E32"/>
    <mergeCell ref="G32:H32"/>
    <mergeCell ref="J32:K32"/>
    <mergeCell ref="M32:N32"/>
    <mergeCell ref="P32:Q32"/>
    <mergeCell ref="M23:N23"/>
    <mergeCell ref="D30:E30"/>
    <mergeCell ref="D16:E16"/>
    <mergeCell ref="G16:H16"/>
    <mergeCell ref="J16:K16"/>
    <mergeCell ref="M16:N16"/>
    <mergeCell ref="P16:Q16"/>
    <mergeCell ref="D15:E15"/>
    <mergeCell ref="P15:Q15"/>
    <mergeCell ref="B75:B77"/>
    <mergeCell ref="C139:E139"/>
    <mergeCell ref="D13:E13"/>
    <mergeCell ref="G13:H13"/>
    <mergeCell ref="J13:K13"/>
    <mergeCell ref="M13:N13"/>
    <mergeCell ref="P13:Q13"/>
    <mergeCell ref="D31:E31"/>
    <mergeCell ref="G31:H31"/>
    <mergeCell ref="J31:K31"/>
    <mergeCell ref="M31:N31"/>
    <mergeCell ref="P31:Q31"/>
    <mergeCell ref="G27:H27"/>
    <mergeCell ref="J27:K27"/>
    <mergeCell ref="M27:N27"/>
    <mergeCell ref="G29:H29"/>
    <mergeCell ref="J29:K29"/>
    <mergeCell ref="M29:N29"/>
    <mergeCell ref="L137:M137"/>
    <mergeCell ref="C57:K57"/>
    <mergeCell ref="I113:K113"/>
    <mergeCell ref="C100:E100"/>
    <mergeCell ref="P49:Q49"/>
    <mergeCell ref="L117:M117"/>
    <mergeCell ref="C117:E117"/>
    <mergeCell ref="F117:H117"/>
    <mergeCell ref="I117:K117"/>
    <mergeCell ref="F114:H114"/>
    <mergeCell ref="I114:K114"/>
    <mergeCell ref="L114:M114"/>
    <mergeCell ref="I100:K100"/>
    <mergeCell ref="L100:M100"/>
    <mergeCell ref="I102:K102"/>
    <mergeCell ref="L102:M102"/>
    <mergeCell ref="C90:E90"/>
    <mergeCell ref="C72:E72"/>
    <mergeCell ref="B112:B113"/>
    <mergeCell ref="C114:E114"/>
    <mergeCell ref="C113:E113"/>
    <mergeCell ref="C112:M112"/>
    <mergeCell ref="I136:K136"/>
    <mergeCell ref="L136:M136"/>
    <mergeCell ref="C122:E122"/>
    <mergeCell ref="F122:H122"/>
    <mergeCell ref="I122:K122"/>
    <mergeCell ref="L122:M122"/>
    <mergeCell ref="C119:E119"/>
    <mergeCell ref="F119:H119"/>
    <mergeCell ref="I119:K119"/>
    <mergeCell ref="L119:M119"/>
    <mergeCell ref="C136:E136"/>
    <mergeCell ref="L132:M132"/>
    <mergeCell ref="C127:M127"/>
    <mergeCell ref="C123:E123"/>
    <mergeCell ref="F123:H123"/>
    <mergeCell ref="I123:K123"/>
    <mergeCell ref="L123:M123"/>
    <mergeCell ref="C115:E115"/>
    <mergeCell ref="C121:E121"/>
    <mergeCell ref="F121:H121"/>
    <mergeCell ref="I121:K121"/>
    <mergeCell ref="L121:M121"/>
    <mergeCell ref="P48:Q48"/>
    <mergeCell ref="C104:E104"/>
    <mergeCell ref="F104:H104"/>
    <mergeCell ref="I104:K104"/>
    <mergeCell ref="L104:M104"/>
    <mergeCell ref="C101:E101"/>
    <mergeCell ref="F101:H101"/>
    <mergeCell ref="I101:K101"/>
    <mergeCell ref="P52:Q52"/>
    <mergeCell ref="J52:K52"/>
    <mergeCell ref="D49:E49"/>
    <mergeCell ref="G49:H49"/>
    <mergeCell ref="J49:K49"/>
    <mergeCell ref="M49:N49"/>
    <mergeCell ref="F72:H72"/>
    <mergeCell ref="F73:H73"/>
    <mergeCell ref="I72:K72"/>
    <mergeCell ref="F96:H96"/>
    <mergeCell ref="C102:E102"/>
    <mergeCell ref="F102:H102"/>
    <mergeCell ref="D11:E11"/>
    <mergeCell ref="P45:Q45"/>
    <mergeCell ref="D42:E42"/>
    <mergeCell ref="M17:N17"/>
    <mergeCell ref="G17:H17"/>
    <mergeCell ref="J17:K17"/>
    <mergeCell ref="D29:E29"/>
    <mergeCell ref="D28:E28"/>
    <mergeCell ref="G28:H28"/>
    <mergeCell ref="J28:K28"/>
    <mergeCell ref="M28:N28"/>
    <mergeCell ref="P28:Q28"/>
    <mergeCell ref="D40:E40"/>
    <mergeCell ref="G40:H40"/>
    <mergeCell ref="J40:K40"/>
    <mergeCell ref="M40:N40"/>
    <mergeCell ref="P40:Q40"/>
    <mergeCell ref="D12:E12"/>
    <mergeCell ref="J12:K12"/>
    <mergeCell ref="M12:N12"/>
    <mergeCell ref="G15:H15"/>
    <mergeCell ref="J15:K15"/>
    <mergeCell ref="M15:N15"/>
    <mergeCell ref="D14:E14"/>
    <mergeCell ref="P12:Q12"/>
    <mergeCell ref="D9:E9"/>
    <mergeCell ref="G9:H9"/>
    <mergeCell ref="J9:K9"/>
    <mergeCell ref="M9:N9"/>
    <mergeCell ref="G41:H41"/>
    <mergeCell ref="G35:H35"/>
    <mergeCell ref="J35:K35"/>
    <mergeCell ref="M35:N35"/>
    <mergeCell ref="B37:T37"/>
    <mergeCell ref="R38:T38"/>
    <mergeCell ref="D35:E35"/>
    <mergeCell ref="D10:E10"/>
    <mergeCell ref="G10:H10"/>
    <mergeCell ref="J10:K10"/>
    <mergeCell ref="M10:N10"/>
    <mergeCell ref="P10:Q10"/>
    <mergeCell ref="M24:N24"/>
    <mergeCell ref="G23:H23"/>
    <mergeCell ref="J24:K24"/>
    <mergeCell ref="G11:H11"/>
    <mergeCell ref="P27:Q27"/>
    <mergeCell ref="J11:K11"/>
    <mergeCell ref="M11:N11"/>
    <mergeCell ref="P11:Q11"/>
    <mergeCell ref="B95:B96"/>
    <mergeCell ref="F98:H98"/>
    <mergeCell ref="L96:M96"/>
    <mergeCell ref="L98:M98"/>
    <mergeCell ref="F97:H97"/>
    <mergeCell ref="I98:K98"/>
    <mergeCell ref="L97:M97"/>
    <mergeCell ref="F58:H58"/>
    <mergeCell ref="I58:K58"/>
    <mergeCell ref="B57:B59"/>
    <mergeCell ref="I97:K97"/>
    <mergeCell ref="F90:H90"/>
    <mergeCell ref="I90:K90"/>
    <mergeCell ref="D23:E23"/>
    <mergeCell ref="J25:K25"/>
    <mergeCell ref="M25:N25"/>
    <mergeCell ref="C75:K75"/>
    <mergeCell ref="C76:E76"/>
    <mergeCell ref="F76:H76"/>
    <mergeCell ref="I76:K76"/>
    <mergeCell ref="I73:K73"/>
    <mergeCell ref="C73:E73"/>
    <mergeCell ref="D27:E27"/>
    <mergeCell ref="B197:C197"/>
    <mergeCell ref="M175:O175"/>
    <mergeCell ref="M171:O171"/>
    <mergeCell ref="M151:O151"/>
    <mergeCell ref="B169:C169"/>
    <mergeCell ref="B168:C168"/>
    <mergeCell ref="B154:C154"/>
    <mergeCell ref="B151:C151"/>
    <mergeCell ref="M162:O162"/>
    <mergeCell ref="M163:O163"/>
    <mergeCell ref="M164:O164"/>
    <mergeCell ref="M165:O165"/>
    <mergeCell ref="B173:C173"/>
    <mergeCell ref="B174:C174"/>
    <mergeCell ref="M155:O155"/>
    <mergeCell ref="M154:O154"/>
    <mergeCell ref="M184:O184"/>
    <mergeCell ref="M174:O174"/>
    <mergeCell ref="M173:O173"/>
    <mergeCell ref="M168:O168"/>
    <mergeCell ref="M169:O169"/>
    <mergeCell ref="M170:O170"/>
    <mergeCell ref="B170:C170"/>
    <mergeCell ref="M172:O172"/>
    <mergeCell ref="M7:N7"/>
    <mergeCell ref="B38:B39"/>
    <mergeCell ref="G39:H39"/>
    <mergeCell ref="J39:K39"/>
    <mergeCell ref="M39:N39"/>
    <mergeCell ref="B36:Q36"/>
    <mergeCell ref="J23:K23"/>
    <mergeCell ref="B20:B22"/>
    <mergeCell ref="C20:K20"/>
    <mergeCell ref="L20:N21"/>
    <mergeCell ref="C21:E21"/>
    <mergeCell ref="F21:H21"/>
    <mergeCell ref="I21:K21"/>
    <mergeCell ref="D24:E24"/>
    <mergeCell ref="P35:Q35"/>
    <mergeCell ref="D25:E25"/>
    <mergeCell ref="F38:H38"/>
    <mergeCell ref="I38:K38"/>
    <mergeCell ref="L38:N38"/>
    <mergeCell ref="D39:E39"/>
    <mergeCell ref="O38:Q38"/>
    <mergeCell ref="G25:H25"/>
    <mergeCell ref="P29:Q29"/>
    <mergeCell ref="G12:H12"/>
    <mergeCell ref="J6:K6"/>
    <mergeCell ref="J7:K7"/>
    <mergeCell ref="M150:O150"/>
    <mergeCell ref="G149:I149"/>
    <mergeCell ref="J149:L149"/>
    <mergeCell ref="C145:M145"/>
    <mergeCell ref="C143:E143"/>
    <mergeCell ref="F143:H143"/>
    <mergeCell ref="I143:K143"/>
    <mergeCell ref="C133:E133"/>
    <mergeCell ref="F133:H133"/>
    <mergeCell ref="I133:K133"/>
    <mergeCell ref="L133:M133"/>
    <mergeCell ref="C134:E134"/>
    <mergeCell ref="F134:H134"/>
    <mergeCell ref="I134:K134"/>
    <mergeCell ref="L134:M134"/>
    <mergeCell ref="C132:E132"/>
    <mergeCell ref="F132:H132"/>
    <mergeCell ref="I132:K132"/>
    <mergeCell ref="C135:E135"/>
    <mergeCell ref="F135:H135"/>
    <mergeCell ref="I135:K135"/>
    <mergeCell ref="C38:E38"/>
    <mergeCell ref="B2:Q2"/>
    <mergeCell ref="P6:Q6"/>
    <mergeCell ref="P7:Q7"/>
    <mergeCell ref="I3:K3"/>
    <mergeCell ref="J4:K4"/>
    <mergeCell ref="J5:K5"/>
    <mergeCell ref="B3:B4"/>
    <mergeCell ref="C3:E3"/>
    <mergeCell ref="F3:H3"/>
    <mergeCell ref="G4:H4"/>
    <mergeCell ref="G5:H5"/>
    <mergeCell ref="D4:E4"/>
    <mergeCell ref="D5:E5"/>
    <mergeCell ref="O3:Q3"/>
    <mergeCell ref="P4:Q4"/>
    <mergeCell ref="P5:Q5"/>
    <mergeCell ref="L3:N3"/>
    <mergeCell ref="M4:N4"/>
    <mergeCell ref="M5:N5"/>
    <mergeCell ref="G6:H6"/>
    <mergeCell ref="M6:N6"/>
    <mergeCell ref="D6:E6"/>
    <mergeCell ref="D7:E7"/>
    <mergeCell ref="G7:H7"/>
    <mergeCell ref="C91:E91"/>
    <mergeCell ref="L113:M113"/>
    <mergeCell ref="C105:E105"/>
    <mergeCell ref="F105:H105"/>
    <mergeCell ref="I105:K105"/>
    <mergeCell ref="L105:M105"/>
    <mergeCell ref="L101:M101"/>
    <mergeCell ref="C109:M109"/>
    <mergeCell ref="F108:H108"/>
    <mergeCell ref="L108:M108"/>
    <mergeCell ref="C108:E108"/>
    <mergeCell ref="I108:K108"/>
    <mergeCell ref="C110:M110"/>
    <mergeCell ref="F113:H113"/>
    <mergeCell ref="C97:E97"/>
    <mergeCell ref="C98:E98"/>
    <mergeCell ref="F100:H100"/>
    <mergeCell ref="F91:H91"/>
    <mergeCell ref="I91:K91"/>
    <mergeCell ref="C95:M95"/>
    <mergeCell ref="I96:K96"/>
    <mergeCell ref="C96:E96"/>
    <mergeCell ref="J45:K45"/>
    <mergeCell ref="M45:N45"/>
    <mergeCell ref="M43:N43"/>
    <mergeCell ref="C58:E58"/>
    <mergeCell ref="D52:E52"/>
    <mergeCell ref="G52:H52"/>
    <mergeCell ref="D44:E44"/>
    <mergeCell ref="G44:H44"/>
    <mergeCell ref="J44:K44"/>
    <mergeCell ref="D50:E50"/>
    <mergeCell ref="G50:H50"/>
    <mergeCell ref="J50:K50"/>
    <mergeCell ref="M50:N50"/>
    <mergeCell ref="J43:K43"/>
    <mergeCell ref="D46:E46"/>
    <mergeCell ref="S40:T40"/>
    <mergeCell ref="B171:C171"/>
    <mergeCell ref="B157:C157"/>
    <mergeCell ref="M166:O166"/>
    <mergeCell ref="J41:K41"/>
    <mergeCell ref="M41:N41"/>
    <mergeCell ref="P42:Q42"/>
    <mergeCell ref="P41:Q41"/>
    <mergeCell ref="L115:M115"/>
    <mergeCell ref="C126:M126"/>
    <mergeCell ref="I125:K125"/>
    <mergeCell ref="F115:H115"/>
    <mergeCell ref="I115:K115"/>
    <mergeCell ref="D148:L148"/>
    <mergeCell ref="B160:C160"/>
    <mergeCell ref="B155:C155"/>
    <mergeCell ref="B159:C159"/>
    <mergeCell ref="L143:M143"/>
    <mergeCell ref="C144:M144"/>
    <mergeCell ref="M44:N44"/>
    <mergeCell ref="C138:E138"/>
    <mergeCell ref="F138:H138"/>
    <mergeCell ref="I138:K138"/>
    <mergeCell ref="B161:C161"/>
    <mergeCell ref="D8:E8"/>
    <mergeCell ref="G8:H8"/>
    <mergeCell ref="J8:K8"/>
    <mergeCell ref="M8:N8"/>
    <mergeCell ref="P8:Q8"/>
    <mergeCell ref="D26:E26"/>
    <mergeCell ref="G26:H26"/>
    <mergeCell ref="J26:K26"/>
    <mergeCell ref="M26:N26"/>
    <mergeCell ref="P26:Q26"/>
    <mergeCell ref="O20:Q21"/>
    <mergeCell ref="P22:Q22"/>
    <mergeCell ref="P23:Q23"/>
    <mergeCell ref="P24:Q24"/>
    <mergeCell ref="P25:Q25"/>
    <mergeCell ref="P17:Q17"/>
    <mergeCell ref="D17:E17"/>
    <mergeCell ref="M22:N22"/>
    <mergeCell ref="J22:K22"/>
    <mergeCell ref="G24:H24"/>
    <mergeCell ref="D22:E22"/>
    <mergeCell ref="G22:H22"/>
    <mergeCell ref="B19:Q19"/>
    <mergeCell ref="P9:Q9"/>
    <mergeCell ref="M197:O197"/>
    <mergeCell ref="P43:Q43"/>
    <mergeCell ref="S43:T43"/>
    <mergeCell ref="C99:E99"/>
    <mergeCell ref="F99:H99"/>
    <mergeCell ref="I99:K99"/>
    <mergeCell ref="L99:M99"/>
    <mergeCell ref="C116:E116"/>
    <mergeCell ref="F116:H116"/>
    <mergeCell ref="I116:K116"/>
    <mergeCell ref="L116:M116"/>
    <mergeCell ref="C130:M130"/>
    <mergeCell ref="C131:E131"/>
    <mergeCell ref="F131:H131"/>
    <mergeCell ref="I131:K131"/>
    <mergeCell ref="L131:M131"/>
    <mergeCell ref="C125:E125"/>
    <mergeCell ref="F125:H125"/>
    <mergeCell ref="L125:M125"/>
    <mergeCell ref="B172:C172"/>
    <mergeCell ref="M148:O149"/>
    <mergeCell ref="B148:C150"/>
    <mergeCell ref="P44:Q44"/>
    <mergeCell ref="B175:C175"/>
    <mergeCell ref="B130:B131"/>
    <mergeCell ref="B165:C165"/>
    <mergeCell ref="B167:C167"/>
    <mergeCell ref="B166:C166"/>
    <mergeCell ref="B156:C156"/>
    <mergeCell ref="M156:O156"/>
    <mergeCell ref="M157:O157"/>
    <mergeCell ref="M158:O158"/>
    <mergeCell ref="B158:C158"/>
    <mergeCell ref="M167:O167"/>
    <mergeCell ref="L138:M138"/>
    <mergeCell ref="M160:O160"/>
    <mergeCell ref="F139:H139"/>
    <mergeCell ref="I139:K139"/>
    <mergeCell ref="L139:M139"/>
    <mergeCell ref="C137:E137"/>
    <mergeCell ref="F137:H137"/>
    <mergeCell ref="I137:K137"/>
    <mergeCell ref="M161:O161"/>
    <mergeCell ref="B163:C163"/>
    <mergeCell ref="L135:M135"/>
    <mergeCell ref="B152:C152"/>
    <mergeCell ref="M152:O152"/>
    <mergeCell ref="F136:H136"/>
    <mergeCell ref="AD19:AD21"/>
    <mergeCell ref="AG19:AG21"/>
    <mergeCell ref="S47:T47"/>
    <mergeCell ref="C103:E103"/>
    <mergeCell ref="F103:H103"/>
    <mergeCell ref="I103:K103"/>
    <mergeCell ref="L103:M103"/>
    <mergeCell ref="C120:E120"/>
    <mergeCell ref="F120:H120"/>
    <mergeCell ref="I120:K120"/>
    <mergeCell ref="L120:M120"/>
    <mergeCell ref="G30:H30"/>
    <mergeCell ref="J30:K30"/>
    <mergeCell ref="M30:N30"/>
    <mergeCell ref="P30:Q30"/>
    <mergeCell ref="D47:E47"/>
    <mergeCell ref="G47:H47"/>
    <mergeCell ref="J47:K47"/>
    <mergeCell ref="M47:N47"/>
    <mergeCell ref="C118:E118"/>
    <mergeCell ref="F118:H118"/>
    <mergeCell ref="I118:K118"/>
    <mergeCell ref="L118:M118"/>
    <mergeCell ref="S39:T39"/>
  </mergeCells>
  <pageMargins left="0.7" right="0.7" top="0.75" bottom="0.75" header="0.3" footer="0.3"/>
  <pageSetup orientation="portrait" r:id="rId1"/>
  <ignoredErrors>
    <ignoredError sqref="E89 E71 H71 H8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2"/>
  <sheetViews>
    <sheetView zoomScale="130" zoomScaleNormal="130" workbookViewId="0">
      <selection activeCell="H12" sqref="H12"/>
    </sheetView>
  </sheetViews>
  <sheetFormatPr baseColWidth="10" defaultColWidth="11.5703125" defaultRowHeight="16.149999999999999" customHeight="1" x14ac:dyDescent="0.25"/>
  <cols>
    <col min="1" max="1" width="17.28515625" style="79" customWidth="1"/>
    <col min="2" max="2" width="16" style="78" customWidth="1"/>
    <col min="3" max="3" width="10.5703125" style="78" customWidth="1"/>
    <col min="4" max="4" width="11.42578125" style="78" customWidth="1"/>
    <col min="5" max="5" width="10.5703125" style="78" customWidth="1"/>
    <col min="6" max="7" width="11.28515625" style="78" customWidth="1"/>
    <col min="8" max="8" width="10.28515625" style="78" customWidth="1"/>
    <col min="9" max="9" width="9.85546875" style="78" customWidth="1"/>
    <col min="10" max="10" width="13.5703125" style="78" customWidth="1"/>
    <col min="11" max="11" width="12.85546875" style="78" customWidth="1"/>
    <col min="12" max="12" width="10.28515625" style="78" customWidth="1"/>
    <col min="13" max="13" width="20.7109375" style="78" customWidth="1"/>
    <col min="14" max="14" width="13.5703125" style="78" customWidth="1"/>
    <col min="15" max="15" width="23.85546875" style="78" customWidth="1"/>
    <col min="16" max="16" width="13.5703125" style="78" customWidth="1"/>
    <col min="17" max="17" width="23.85546875" style="78" customWidth="1"/>
    <col min="18" max="18" width="10.28515625" style="78" customWidth="1"/>
    <col min="19" max="19" width="20.7109375" style="78" customWidth="1"/>
    <col min="20" max="20" width="13.5703125" style="78" customWidth="1"/>
    <col min="21" max="21" width="23.85546875" style="78" customWidth="1"/>
    <col min="22" max="22" width="10.28515625" style="78" customWidth="1"/>
    <col min="23" max="23" width="21.140625" style="78" customWidth="1"/>
    <col min="24" max="24" width="10.28515625" style="78" customWidth="1"/>
    <col min="25" max="25" width="21.140625" style="79" bestFit="1" customWidth="1"/>
    <col min="26" max="26" width="13.7109375" style="79" bestFit="1" customWidth="1"/>
    <col min="27" max="27" width="24.28515625" style="79" bestFit="1" customWidth="1"/>
    <col min="28" max="16384" width="11.5703125" style="79"/>
  </cols>
  <sheetData>
    <row r="1" spans="1:24" ht="16.149999999999999" customHeight="1" x14ac:dyDescent="0.25">
      <c r="A1" s="511" t="s">
        <v>75</v>
      </c>
      <c r="B1" s="511"/>
      <c r="C1" s="511"/>
      <c r="D1" s="511"/>
      <c r="E1" s="511"/>
      <c r="F1" s="511"/>
      <c r="G1" s="511"/>
      <c r="H1" s="511"/>
      <c r="I1" s="511"/>
    </row>
    <row r="2" spans="1:24" ht="16.149999999999999" customHeight="1" x14ac:dyDescent="0.25">
      <c r="A2" s="80" t="s">
        <v>19</v>
      </c>
      <c r="B2" s="78" t="s">
        <v>980</v>
      </c>
    </row>
    <row r="3" spans="1:24" s="81" customFormat="1" ht="16.149999999999999" customHeight="1" x14ac:dyDescent="0.25">
      <c r="A3" s="79"/>
      <c r="B3" s="79"/>
      <c r="C3" s="79"/>
      <c r="D3" s="79"/>
      <c r="E3" s="79"/>
      <c r="F3" s="79"/>
      <c r="G3" s="79"/>
      <c r="H3" s="79"/>
      <c r="I3" s="79"/>
      <c r="J3" s="79"/>
      <c r="K3" s="79"/>
      <c r="L3" s="79"/>
      <c r="M3" s="79"/>
    </row>
    <row r="4" spans="1:24" s="84" customFormat="1" ht="11.25" x14ac:dyDescent="0.25">
      <c r="A4" s="81"/>
      <c r="B4" s="82" t="s">
        <v>39</v>
      </c>
      <c r="C4" s="83"/>
      <c r="D4" s="83"/>
      <c r="E4" s="83"/>
      <c r="F4" s="83"/>
      <c r="G4" s="83"/>
      <c r="H4" s="83"/>
      <c r="I4" s="83"/>
      <c r="J4" s="83"/>
      <c r="K4" s="83"/>
      <c r="L4" s="83"/>
      <c r="M4" s="83"/>
      <c r="N4" s="83"/>
      <c r="O4" s="83"/>
      <c r="P4" s="83"/>
      <c r="Q4" s="83"/>
    </row>
    <row r="5" spans="1:24" s="84" customFormat="1" ht="19.149999999999999" customHeight="1" x14ac:dyDescent="0.25">
      <c r="A5" s="81"/>
      <c r="B5" s="85" t="s">
        <v>230</v>
      </c>
      <c r="C5" s="85"/>
      <c r="D5" s="85" t="s">
        <v>43</v>
      </c>
      <c r="E5" s="85"/>
      <c r="F5" s="85" t="s">
        <v>40</v>
      </c>
      <c r="G5" s="85"/>
      <c r="H5" s="85" t="s">
        <v>1856</v>
      </c>
      <c r="I5" s="85"/>
      <c r="J5" s="85" t="s">
        <v>4429</v>
      </c>
      <c r="K5" s="85"/>
      <c r="L5" s="85" t="s">
        <v>4430</v>
      </c>
      <c r="M5" s="85"/>
      <c r="N5" s="85" t="s">
        <v>4444</v>
      </c>
      <c r="O5" s="85"/>
      <c r="P5" s="85" t="s">
        <v>88</v>
      </c>
      <c r="Q5" s="84" t="s">
        <v>89</v>
      </c>
    </row>
    <row r="6" spans="1:24" s="124" customFormat="1" ht="23.45" customHeight="1" x14ac:dyDescent="0.25">
      <c r="A6" s="122" t="s">
        <v>36</v>
      </c>
      <c r="B6" s="123" t="s">
        <v>38</v>
      </c>
      <c r="C6" s="84" t="s">
        <v>87</v>
      </c>
      <c r="D6" s="123" t="s">
        <v>38</v>
      </c>
      <c r="E6" s="84" t="s">
        <v>87</v>
      </c>
      <c r="F6" s="124" t="s">
        <v>38</v>
      </c>
      <c r="G6" s="84" t="s">
        <v>87</v>
      </c>
      <c r="H6" s="124" t="s">
        <v>38</v>
      </c>
      <c r="I6" s="84" t="s">
        <v>87</v>
      </c>
      <c r="J6" s="79" t="s">
        <v>38</v>
      </c>
      <c r="K6" s="79" t="s">
        <v>87</v>
      </c>
      <c r="L6" s="79" t="s">
        <v>38</v>
      </c>
      <c r="M6" s="79" t="s">
        <v>87</v>
      </c>
      <c r="N6" s="79" t="s">
        <v>38</v>
      </c>
      <c r="O6" s="79" t="s">
        <v>87</v>
      </c>
      <c r="P6" s="85"/>
      <c r="Q6" s="84"/>
      <c r="R6" s="123"/>
      <c r="S6" s="123"/>
      <c r="T6" s="123"/>
      <c r="U6" s="123"/>
      <c r="V6" s="123"/>
      <c r="W6" s="123"/>
      <c r="X6" s="123"/>
    </row>
    <row r="7" spans="1:24" ht="16.149999999999999" customHeight="1" x14ac:dyDescent="0.25">
      <c r="A7" s="87">
        <v>2021</v>
      </c>
      <c r="B7" s="78">
        <v>2</v>
      </c>
      <c r="C7" s="78">
        <v>10376838023</v>
      </c>
      <c r="D7" s="78">
        <v>2</v>
      </c>
      <c r="E7" s="78">
        <v>5167301774</v>
      </c>
      <c r="F7" s="78">
        <v>11</v>
      </c>
      <c r="G7" s="78">
        <v>419468076715</v>
      </c>
      <c r="P7" s="78">
        <v>15</v>
      </c>
      <c r="Q7" s="78">
        <v>435012216512</v>
      </c>
    </row>
    <row r="8" spans="1:24" ht="16.149999999999999" customHeight="1" x14ac:dyDescent="0.25">
      <c r="A8" s="87" t="s">
        <v>4431</v>
      </c>
      <c r="B8" s="78">
        <v>11</v>
      </c>
      <c r="C8" s="78">
        <v>5709086634</v>
      </c>
      <c r="D8" s="78">
        <v>97</v>
      </c>
      <c r="E8" s="78">
        <v>22883860864</v>
      </c>
      <c r="L8" s="78">
        <v>11</v>
      </c>
      <c r="M8" s="78">
        <v>2398467994</v>
      </c>
      <c r="N8" s="78">
        <v>1</v>
      </c>
      <c r="O8" s="78">
        <v>157827595</v>
      </c>
      <c r="P8" s="78">
        <v>120</v>
      </c>
      <c r="Q8" s="78">
        <v>31149243087</v>
      </c>
    </row>
    <row r="9" spans="1:24" ht="16.149999999999999" customHeight="1" x14ac:dyDescent="0.25">
      <c r="A9" s="87" t="s">
        <v>4432</v>
      </c>
      <c r="B9" s="78">
        <v>6</v>
      </c>
      <c r="C9" s="78">
        <v>2672534597</v>
      </c>
      <c r="F9" s="78">
        <v>19</v>
      </c>
      <c r="G9" s="78">
        <v>8800457545</v>
      </c>
      <c r="L9" s="78">
        <v>1</v>
      </c>
      <c r="M9" s="78">
        <v>9090372</v>
      </c>
      <c r="P9" s="78">
        <v>26</v>
      </c>
      <c r="Q9" s="78">
        <v>11482082514</v>
      </c>
    </row>
    <row r="10" spans="1:24" ht="16.149999999999999" customHeight="1" x14ac:dyDescent="0.25">
      <c r="A10" s="87" t="s">
        <v>4433</v>
      </c>
      <c r="B10" s="78">
        <v>16</v>
      </c>
      <c r="C10" s="78">
        <v>21573527387.126316</v>
      </c>
      <c r="F10" s="78">
        <v>44</v>
      </c>
      <c r="G10" s="78">
        <v>19852902143</v>
      </c>
      <c r="H10" s="78">
        <v>1</v>
      </c>
      <c r="I10" s="78">
        <v>1740970</v>
      </c>
      <c r="L10" s="78">
        <v>1</v>
      </c>
      <c r="M10" s="78">
        <v>0</v>
      </c>
      <c r="P10" s="78">
        <v>62</v>
      </c>
      <c r="Q10" s="78">
        <v>41428170500.126312</v>
      </c>
    </row>
    <row r="11" spans="1:24" ht="16.149999999999999" customHeight="1" x14ac:dyDescent="0.25">
      <c r="A11" s="87" t="s">
        <v>4434</v>
      </c>
      <c r="B11" s="78">
        <v>6</v>
      </c>
      <c r="C11" s="78">
        <v>3108528984</v>
      </c>
      <c r="F11" s="78">
        <v>33</v>
      </c>
      <c r="G11" s="78">
        <v>24743621989</v>
      </c>
      <c r="L11" s="78">
        <v>4</v>
      </c>
      <c r="M11" s="78">
        <v>6480001125</v>
      </c>
      <c r="P11" s="78">
        <v>43</v>
      </c>
      <c r="Q11" s="78">
        <v>34332152098</v>
      </c>
    </row>
    <row r="12" spans="1:24" ht="16.149999999999999" customHeight="1" x14ac:dyDescent="0.25">
      <c r="A12" s="87" t="s">
        <v>4435</v>
      </c>
      <c r="B12" s="78">
        <v>11</v>
      </c>
      <c r="C12" s="78">
        <v>4363928864</v>
      </c>
      <c r="D12" s="78">
        <v>2</v>
      </c>
      <c r="E12" s="78">
        <v>165197399</v>
      </c>
      <c r="F12" s="78">
        <v>21</v>
      </c>
      <c r="G12" s="78">
        <v>50375626568</v>
      </c>
      <c r="L12" s="78">
        <v>2</v>
      </c>
      <c r="M12" s="78">
        <v>90170000</v>
      </c>
      <c r="P12" s="78">
        <v>36</v>
      </c>
      <c r="Q12" s="78">
        <v>54994922831</v>
      </c>
    </row>
    <row r="13" spans="1:24" ht="16.149999999999999" customHeight="1" x14ac:dyDescent="0.25">
      <c r="A13" s="87" t="s">
        <v>4436</v>
      </c>
      <c r="B13" s="78">
        <v>2</v>
      </c>
      <c r="C13" s="78">
        <v>2554568814</v>
      </c>
      <c r="D13" s="78">
        <v>48</v>
      </c>
      <c r="E13" s="78">
        <v>8240290956</v>
      </c>
      <c r="F13" s="78">
        <v>4</v>
      </c>
      <c r="G13" s="78">
        <v>6219100480</v>
      </c>
      <c r="L13" s="78">
        <v>1</v>
      </c>
      <c r="M13" s="78">
        <v>1240383280</v>
      </c>
      <c r="P13" s="78">
        <v>55</v>
      </c>
      <c r="Q13" s="78">
        <v>18254343530</v>
      </c>
    </row>
    <row r="14" spans="1:24" ht="16.149999999999999" customHeight="1" x14ac:dyDescent="0.25">
      <c r="A14" s="87" t="s">
        <v>4437</v>
      </c>
      <c r="B14" s="78">
        <v>10</v>
      </c>
      <c r="C14" s="78">
        <v>17054796196</v>
      </c>
      <c r="D14" s="78">
        <v>66</v>
      </c>
      <c r="E14" s="78">
        <v>16800070053</v>
      </c>
      <c r="F14" s="78">
        <v>14</v>
      </c>
      <c r="G14" s="78">
        <v>46477828771</v>
      </c>
      <c r="L14" s="78">
        <v>3</v>
      </c>
      <c r="M14" s="78">
        <v>295464881</v>
      </c>
      <c r="P14" s="78">
        <v>93</v>
      </c>
      <c r="Q14" s="78">
        <v>80628159901</v>
      </c>
    </row>
    <row r="15" spans="1:24" ht="16.149999999999999" customHeight="1" x14ac:dyDescent="0.25">
      <c r="A15" s="87" t="s">
        <v>4438</v>
      </c>
      <c r="B15" s="78">
        <v>5</v>
      </c>
      <c r="C15" s="78">
        <v>3304348934</v>
      </c>
      <c r="D15" s="78">
        <v>50</v>
      </c>
      <c r="E15" s="78">
        <v>27637883826</v>
      </c>
      <c r="F15" s="78">
        <v>5</v>
      </c>
      <c r="G15" s="78">
        <v>8915930245</v>
      </c>
      <c r="L15" s="78">
        <v>5</v>
      </c>
      <c r="M15" s="78">
        <v>220988500</v>
      </c>
      <c r="P15" s="78">
        <v>65</v>
      </c>
      <c r="Q15" s="78">
        <v>40079151505</v>
      </c>
    </row>
    <row r="16" spans="1:24" ht="16.149999999999999" customHeight="1" x14ac:dyDescent="0.25">
      <c r="A16" s="87" t="s">
        <v>4262</v>
      </c>
      <c r="B16" s="78">
        <v>4</v>
      </c>
      <c r="C16" s="78">
        <v>2512276925</v>
      </c>
      <c r="D16" s="78">
        <v>34</v>
      </c>
      <c r="E16" s="78">
        <v>8467785634</v>
      </c>
      <c r="F16" s="78">
        <v>3</v>
      </c>
      <c r="G16" s="78">
        <v>42798784212</v>
      </c>
      <c r="L16" s="78">
        <v>9</v>
      </c>
      <c r="M16" s="78">
        <v>4150195594</v>
      </c>
      <c r="P16" s="78">
        <v>50</v>
      </c>
      <c r="Q16" s="78">
        <v>57929042365</v>
      </c>
    </row>
    <row r="17" spans="1:22" ht="16.149999999999999" customHeight="1" x14ac:dyDescent="0.25">
      <c r="A17" s="87" t="s">
        <v>4271</v>
      </c>
      <c r="D17" s="78">
        <v>3</v>
      </c>
      <c r="E17" s="78">
        <v>970783225</v>
      </c>
      <c r="H17" s="78">
        <v>1</v>
      </c>
      <c r="I17" s="78">
        <v>394958715</v>
      </c>
      <c r="L17" s="78">
        <v>2</v>
      </c>
      <c r="M17" s="78">
        <v>846534885</v>
      </c>
      <c r="P17" s="78">
        <v>6</v>
      </c>
      <c r="Q17" s="78">
        <v>2212276825</v>
      </c>
    </row>
    <row r="18" spans="1:22" ht="16.149999999999999" customHeight="1" x14ac:dyDescent="0.25">
      <c r="A18" s="87" t="s">
        <v>4274</v>
      </c>
      <c r="D18" s="78">
        <v>27</v>
      </c>
      <c r="E18" s="78">
        <v>25024992012</v>
      </c>
      <c r="F18" s="78">
        <v>1</v>
      </c>
      <c r="G18" s="78">
        <v>3082804945</v>
      </c>
      <c r="L18" s="78">
        <v>14</v>
      </c>
      <c r="M18" s="78">
        <v>10647853610</v>
      </c>
      <c r="P18" s="78">
        <v>42</v>
      </c>
      <c r="Q18" s="78">
        <v>38755650567</v>
      </c>
    </row>
    <row r="19" spans="1:22" ht="16.149999999999999" customHeight="1" x14ac:dyDescent="0.25">
      <c r="A19" s="87" t="s">
        <v>4264</v>
      </c>
      <c r="B19" s="78">
        <v>3</v>
      </c>
      <c r="C19" s="78">
        <v>4929558647</v>
      </c>
      <c r="D19" s="78">
        <v>1</v>
      </c>
      <c r="E19" s="78">
        <v>49405696</v>
      </c>
      <c r="F19" s="78">
        <v>4</v>
      </c>
      <c r="G19" s="78">
        <v>32200023274</v>
      </c>
      <c r="J19" s="78">
        <v>2</v>
      </c>
      <c r="K19" s="78">
        <v>3174031062</v>
      </c>
      <c r="L19" s="78">
        <v>6</v>
      </c>
      <c r="M19" s="78">
        <v>30862399068</v>
      </c>
      <c r="P19" s="78">
        <v>16</v>
      </c>
      <c r="Q19" s="78">
        <v>71215417747</v>
      </c>
    </row>
    <row r="20" spans="1:22" ht="16.149999999999999" customHeight="1" x14ac:dyDescent="0.25">
      <c r="A20" s="87" t="s">
        <v>37</v>
      </c>
      <c r="B20" s="78">
        <v>76</v>
      </c>
      <c r="C20" s="78">
        <v>78159994005.126312</v>
      </c>
      <c r="D20" s="78">
        <v>330</v>
      </c>
      <c r="E20" s="78">
        <v>115407571439</v>
      </c>
      <c r="F20" s="78">
        <v>159</v>
      </c>
      <c r="G20" s="78">
        <v>662935156887</v>
      </c>
      <c r="H20" s="78">
        <v>2</v>
      </c>
      <c r="I20" s="78">
        <v>396699685</v>
      </c>
      <c r="J20" s="78">
        <v>2</v>
      </c>
      <c r="K20" s="78">
        <v>3174031062</v>
      </c>
      <c r="L20" s="78">
        <v>59</v>
      </c>
      <c r="M20" s="78">
        <v>57241549309</v>
      </c>
      <c r="N20" s="78">
        <v>1</v>
      </c>
      <c r="O20" s="78">
        <v>157827595</v>
      </c>
      <c r="P20" s="78">
        <v>629</v>
      </c>
      <c r="Q20" s="78">
        <v>917472829982.12634</v>
      </c>
    </row>
    <row r="21" spans="1:22" ht="16.149999999999999" customHeight="1" x14ac:dyDescent="0.25">
      <c r="A21"/>
      <c r="B21"/>
      <c r="C21"/>
      <c r="D21"/>
      <c r="E21"/>
      <c r="F21"/>
      <c r="G21"/>
      <c r="H21"/>
      <c r="I21"/>
      <c r="J21"/>
      <c r="K21"/>
      <c r="L21"/>
      <c r="M21"/>
      <c r="N21"/>
      <c r="O21"/>
    </row>
    <row r="22" spans="1:22" ht="16.149999999999999" customHeight="1" x14ac:dyDescent="0.25">
      <c r="A22" s="511" t="s">
        <v>76</v>
      </c>
      <c r="B22" s="511"/>
      <c r="C22" s="511"/>
      <c r="D22" s="511"/>
      <c r="E22" s="511"/>
      <c r="F22" s="511"/>
      <c r="G22" s="511"/>
      <c r="H22" s="511"/>
      <c r="I22" s="511"/>
      <c r="J22" s="79"/>
      <c r="K22" s="79"/>
      <c r="L22" s="79"/>
      <c r="M22" s="79"/>
      <c r="N22" s="79"/>
      <c r="O22" s="79"/>
    </row>
    <row r="23" spans="1:22" ht="16.149999999999999" customHeight="1" x14ac:dyDescent="0.25">
      <c r="A23" s="80" t="s">
        <v>19</v>
      </c>
      <c r="B23" s="78" t="s">
        <v>169</v>
      </c>
    </row>
    <row r="25" spans="1:22" ht="16.149999999999999" customHeight="1" x14ac:dyDescent="0.25">
      <c r="A25" s="81"/>
      <c r="B25" s="82" t="s">
        <v>39</v>
      </c>
      <c r="D25" s="83"/>
      <c r="E25" s="83"/>
      <c r="F25" s="83"/>
      <c r="G25" s="83"/>
      <c r="H25" s="83"/>
      <c r="I25" s="83"/>
      <c r="J25" s="83"/>
      <c r="K25" s="83"/>
      <c r="L25" s="79"/>
      <c r="M25" s="79"/>
      <c r="N25" s="79"/>
      <c r="O25" s="79"/>
      <c r="P25" s="79"/>
      <c r="Q25" s="79"/>
      <c r="R25" s="79"/>
      <c r="S25" s="79"/>
      <c r="T25" s="79"/>
      <c r="U25" s="79"/>
      <c r="V25" s="79"/>
    </row>
    <row r="26" spans="1:22" ht="15.6" customHeight="1" x14ac:dyDescent="0.25">
      <c r="A26" s="81"/>
      <c r="B26" s="85" t="s">
        <v>230</v>
      </c>
      <c r="C26" s="85"/>
      <c r="D26" s="85" t="s">
        <v>43</v>
      </c>
      <c r="E26" s="85"/>
      <c r="F26" s="85" t="s">
        <v>40</v>
      </c>
      <c r="G26" s="85"/>
      <c r="H26" s="85" t="s">
        <v>1856</v>
      </c>
      <c r="I26" s="85"/>
      <c r="J26" s="85" t="s">
        <v>88</v>
      </c>
      <c r="K26" s="84" t="s">
        <v>90</v>
      </c>
      <c r="L26" s="79"/>
      <c r="M26" s="79"/>
      <c r="N26" s="79"/>
      <c r="O26" s="79"/>
      <c r="P26" s="79"/>
      <c r="Q26" s="79"/>
      <c r="R26" s="79"/>
      <c r="S26" s="79"/>
      <c r="T26" s="79"/>
      <c r="U26" s="79"/>
      <c r="V26" s="79"/>
    </row>
    <row r="27" spans="1:22" ht="16.149999999999999" customHeight="1" x14ac:dyDescent="0.25">
      <c r="A27" s="80" t="s">
        <v>36</v>
      </c>
      <c r="B27" s="85" t="s">
        <v>38</v>
      </c>
      <c r="C27" s="79" t="s">
        <v>981</v>
      </c>
      <c r="D27" s="85" t="s">
        <v>38</v>
      </c>
      <c r="E27" s="79" t="s">
        <v>981</v>
      </c>
      <c r="F27" s="79" t="s">
        <v>38</v>
      </c>
      <c r="G27" s="79" t="s">
        <v>981</v>
      </c>
      <c r="H27" s="79" t="s">
        <v>38</v>
      </c>
      <c r="I27" s="79" t="s">
        <v>981</v>
      </c>
      <c r="J27" s="85"/>
      <c r="K27" s="84"/>
      <c r="L27" s="79"/>
      <c r="M27" s="79"/>
      <c r="N27" s="79"/>
      <c r="O27" s="79"/>
      <c r="P27" s="79"/>
      <c r="Q27" s="79"/>
      <c r="R27" s="79"/>
      <c r="S27" s="79"/>
      <c r="T27" s="79"/>
      <c r="U27" s="79"/>
      <c r="V27" s="79"/>
    </row>
    <row r="28" spans="1:22" ht="16.149999999999999" customHeight="1" x14ac:dyDescent="0.25">
      <c r="A28" s="87" t="s">
        <v>4431</v>
      </c>
      <c r="D28" s="78">
        <v>82</v>
      </c>
      <c r="E28" s="78">
        <v>20429384523</v>
      </c>
      <c r="F28" s="78">
        <v>1</v>
      </c>
      <c r="G28" s="78">
        <v>74954422758</v>
      </c>
      <c r="J28" s="78">
        <v>83</v>
      </c>
      <c r="K28" s="78">
        <v>95383807281</v>
      </c>
      <c r="L28" s="79"/>
      <c r="M28" s="79"/>
      <c r="N28" s="79"/>
      <c r="O28" s="79"/>
      <c r="P28" s="79"/>
      <c r="Q28" s="79"/>
      <c r="R28" s="79"/>
      <c r="S28" s="79"/>
      <c r="T28" s="79"/>
      <c r="U28" s="79"/>
      <c r="V28" s="79"/>
    </row>
    <row r="29" spans="1:22" ht="16.149999999999999" customHeight="1" x14ac:dyDescent="0.25">
      <c r="A29" s="87" t="s">
        <v>4432</v>
      </c>
      <c r="B29" s="78">
        <v>11</v>
      </c>
      <c r="C29" s="78">
        <v>3824988891</v>
      </c>
      <c r="J29" s="78">
        <v>11</v>
      </c>
      <c r="K29" s="78">
        <v>3824988891</v>
      </c>
      <c r="L29" s="79"/>
      <c r="M29" s="79"/>
      <c r="N29" s="79"/>
      <c r="O29" s="79"/>
      <c r="P29" s="79"/>
      <c r="Q29" s="79"/>
      <c r="R29" s="79"/>
      <c r="S29" s="79"/>
      <c r="T29" s="79"/>
      <c r="U29" s="79"/>
      <c r="V29" s="79"/>
    </row>
    <row r="30" spans="1:22" ht="16.149999999999999" customHeight="1" x14ac:dyDescent="0.25">
      <c r="A30" s="87" t="s">
        <v>4433</v>
      </c>
      <c r="B30" s="78">
        <v>3</v>
      </c>
      <c r="C30" s="78">
        <v>3225151036.3999996</v>
      </c>
      <c r="J30" s="78">
        <v>3</v>
      </c>
      <c r="K30" s="78">
        <v>3225151036.3999996</v>
      </c>
      <c r="L30" s="79"/>
      <c r="M30" s="79"/>
      <c r="N30" s="79"/>
      <c r="O30" s="79"/>
      <c r="P30" s="79"/>
      <c r="Q30" s="79"/>
      <c r="R30" s="79"/>
      <c r="S30" s="79"/>
      <c r="T30" s="79"/>
      <c r="U30" s="79"/>
      <c r="V30" s="79"/>
    </row>
    <row r="31" spans="1:22" ht="16.149999999999999" customHeight="1" x14ac:dyDescent="0.25">
      <c r="A31" s="87" t="s">
        <v>4434</v>
      </c>
      <c r="F31" s="78">
        <v>4</v>
      </c>
      <c r="G31" s="78">
        <v>40671810947</v>
      </c>
      <c r="J31" s="78">
        <v>4</v>
      </c>
      <c r="K31" s="78">
        <v>40671810947</v>
      </c>
    </row>
    <row r="32" spans="1:22" ht="16.149999999999999" customHeight="1" x14ac:dyDescent="0.25">
      <c r="A32" s="87" t="s">
        <v>4435</v>
      </c>
      <c r="B32" s="78">
        <v>10</v>
      </c>
      <c r="C32" s="78">
        <v>11561394531</v>
      </c>
      <c r="F32" s="78">
        <v>7</v>
      </c>
      <c r="G32" s="78">
        <v>5708556704</v>
      </c>
      <c r="H32" s="78">
        <v>1</v>
      </c>
      <c r="I32" s="78">
        <v>1323137</v>
      </c>
      <c r="J32" s="78">
        <v>18</v>
      </c>
      <c r="K32" s="78">
        <v>17271274372</v>
      </c>
    </row>
    <row r="33" spans="1:24" ht="16.149999999999999" customHeight="1" x14ac:dyDescent="0.25">
      <c r="A33" s="87" t="s">
        <v>4436</v>
      </c>
      <c r="B33" s="78">
        <v>10</v>
      </c>
      <c r="C33" s="78">
        <v>9276621473</v>
      </c>
      <c r="F33" s="78">
        <v>5</v>
      </c>
      <c r="G33" s="78">
        <v>1679921873</v>
      </c>
      <c r="J33" s="78">
        <v>15</v>
      </c>
      <c r="K33" s="78">
        <v>10956543346</v>
      </c>
    </row>
    <row r="34" spans="1:24" ht="16.149999999999999" customHeight="1" x14ac:dyDescent="0.25">
      <c r="A34" s="87" t="s">
        <v>4437</v>
      </c>
      <c r="B34" s="78">
        <v>14</v>
      </c>
      <c r="C34" s="78">
        <v>12843445951</v>
      </c>
      <c r="D34" s="78">
        <v>11</v>
      </c>
      <c r="E34" s="78">
        <v>2367975611</v>
      </c>
      <c r="F34" s="78">
        <v>10</v>
      </c>
      <c r="G34" s="78">
        <v>10288530721</v>
      </c>
      <c r="J34" s="78">
        <v>35</v>
      </c>
      <c r="K34" s="78">
        <v>25499952283</v>
      </c>
    </row>
    <row r="35" spans="1:24" ht="16.149999999999999" customHeight="1" x14ac:dyDescent="0.25">
      <c r="A35" s="87" t="s">
        <v>4438</v>
      </c>
      <c r="B35" s="78">
        <v>5</v>
      </c>
      <c r="C35" s="78">
        <v>10969884300</v>
      </c>
      <c r="D35" s="78">
        <v>38</v>
      </c>
      <c r="E35" s="78">
        <v>7826575978</v>
      </c>
      <c r="F35" s="78">
        <v>15</v>
      </c>
      <c r="G35" s="78">
        <v>236237110731</v>
      </c>
      <c r="J35" s="78">
        <v>58</v>
      </c>
      <c r="K35" s="78">
        <v>255033571009</v>
      </c>
    </row>
    <row r="36" spans="1:24" ht="16.149999999999999" customHeight="1" x14ac:dyDescent="0.25">
      <c r="A36" s="87" t="s">
        <v>4262</v>
      </c>
      <c r="B36" s="78">
        <v>16</v>
      </c>
      <c r="C36" s="78">
        <v>7642584908</v>
      </c>
      <c r="D36" s="78">
        <v>63</v>
      </c>
      <c r="E36" s="78">
        <v>13679193894</v>
      </c>
      <c r="F36" s="78">
        <v>11</v>
      </c>
      <c r="G36" s="78">
        <v>14017098275</v>
      </c>
      <c r="J36" s="78">
        <v>90</v>
      </c>
      <c r="K36" s="78">
        <v>35338877077</v>
      </c>
    </row>
    <row r="37" spans="1:24" ht="16.149999999999999" customHeight="1" x14ac:dyDescent="0.25">
      <c r="A37" s="87" t="s">
        <v>4271</v>
      </c>
      <c r="B37" s="78">
        <v>1</v>
      </c>
      <c r="C37" s="78">
        <v>691395355</v>
      </c>
      <c r="D37" s="78">
        <v>14</v>
      </c>
      <c r="E37" s="78">
        <v>2088870901</v>
      </c>
      <c r="J37" s="78">
        <v>15</v>
      </c>
      <c r="K37" s="78">
        <v>2780266256</v>
      </c>
    </row>
    <row r="38" spans="1:24" ht="16.149999999999999" customHeight="1" x14ac:dyDescent="0.25">
      <c r="A38" s="87" t="s">
        <v>4274</v>
      </c>
      <c r="D38" s="78">
        <v>8</v>
      </c>
      <c r="E38" s="78">
        <v>4291269728</v>
      </c>
      <c r="J38" s="78">
        <v>8</v>
      </c>
      <c r="K38" s="78">
        <v>4291269728</v>
      </c>
    </row>
    <row r="39" spans="1:24" ht="16.149999999999999" customHeight="1" x14ac:dyDescent="0.25">
      <c r="A39" s="87" t="s">
        <v>4264</v>
      </c>
      <c r="B39" s="78">
        <v>4</v>
      </c>
      <c r="C39" s="78">
        <v>5126896762</v>
      </c>
      <c r="D39" s="78">
        <v>20</v>
      </c>
      <c r="E39" s="78">
        <v>4588473999</v>
      </c>
      <c r="F39" s="78">
        <v>1</v>
      </c>
      <c r="G39" s="78">
        <v>887895578</v>
      </c>
      <c r="H39" s="78">
        <v>1</v>
      </c>
      <c r="I39" s="78">
        <v>259960578</v>
      </c>
      <c r="J39" s="78">
        <v>26</v>
      </c>
      <c r="K39" s="78">
        <v>10863226917</v>
      </c>
    </row>
    <row r="40" spans="1:24" ht="16.149999999999999" customHeight="1" x14ac:dyDescent="0.25">
      <c r="A40" s="87" t="s">
        <v>37</v>
      </c>
      <c r="B40" s="78">
        <v>74</v>
      </c>
      <c r="C40" s="78">
        <v>65162363207.400002</v>
      </c>
      <c r="D40" s="78">
        <v>236</v>
      </c>
      <c r="E40" s="78">
        <v>55271744634</v>
      </c>
      <c r="F40" s="78">
        <v>54</v>
      </c>
      <c r="G40" s="78">
        <v>384445347587</v>
      </c>
      <c r="H40" s="78">
        <v>2</v>
      </c>
      <c r="I40" s="78">
        <v>261283715</v>
      </c>
      <c r="J40" s="78">
        <v>366</v>
      </c>
      <c r="K40" s="78">
        <v>505140739143.40002</v>
      </c>
    </row>
    <row r="41" spans="1:24" ht="16.149999999999999" customHeight="1" x14ac:dyDescent="0.25">
      <c r="A41"/>
      <c r="B41"/>
      <c r="C41"/>
      <c r="D41"/>
      <c r="E41"/>
      <c r="F41"/>
      <c r="G41"/>
      <c r="H41"/>
      <c r="I41"/>
      <c r="J41"/>
      <c r="K41"/>
    </row>
    <row r="42" spans="1:24" ht="16.149999999999999" customHeight="1" x14ac:dyDescent="0.25">
      <c r="A42" s="511" t="s">
        <v>77</v>
      </c>
      <c r="B42" s="511"/>
      <c r="C42" s="511"/>
      <c r="D42" s="511"/>
      <c r="E42" s="511"/>
      <c r="F42" s="511"/>
      <c r="G42" s="511"/>
      <c r="H42" s="511"/>
      <c r="I42" s="511"/>
      <c r="J42"/>
      <c r="K42"/>
    </row>
    <row r="43" spans="1:24" ht="16.149999999999999" customHeight="1" x14ac:dyDescent="0.25">
      <c r="A43" s="80" t="s">
        <v>19</v>
      </c>
      <c r="B43" s="78" t="s">
        <v>153</v>
      </c>
      <c r="D43" s="79"/>
      <c r="E43" s="79"/>
      <c r="F43" s="79"/>
      <c r="G43" s="79"/>
    </row>
    <row r="45" spans="1:24" ht="16.149999999999999" customHeight="1" x14ac:dyDescent="0.25">
      <c r="A45" s="81"/>
      <c r="B45" s="82" t="s">
        <v>39</v>
      </c>
      <c r="D45" s="83"/>
      <c r="E45" s="83"/>
      <c r="F45" s="83"/>
      <c r="G45" s="83"/>
      <c r="H45" s="83"/>
      <c r="I45" s="83"/>
      <c r="J45" s="83"/>
      <c r="K45" s="83"/>
    </row>
    <row r="46" spans="1:24" ht="16.149999999999999" customHeight="1" x14ac:dyDescent="0.25">
      <c r="A46" s="81"/>
      <c r="B46" s="85" t="s">
        <v>230</v>
      </c>
      <c r="C46" s="85"/>
      <c r="D46" s="85" t="s">
        <v>43</v>
      </c>
      <c r="E46" s="85"/>
      <c r="F46" s="85" t="s">
        <v>40</v>
      </c>
      <c r="G46" s="85"/>
      <c r="H46" s="85" t="s">
        <v>4430</v>
      </c>
      <c r="I46" s="85"/>
      <c r="J46" s="85" t="s">
        <v>88</v>
      </c>
      <c r="K46" s="84" t="s">
        <v>89</v>
      </c>
    </row>
    <row r="47" spans="1:24" s="84" customFormat="1" ht="16.149999999999999" customHeight="1" x14ac:dyDescent="0.25">
      <c r="A47" s="86" t="s">
        <v>36</v>
      </c>
      <c r="B47" s="85" t="s">
        <v>38</v>
      </c>
      <c r="C47" s="79" t="s">
        <v>87</v>
      </c>
      <c r="D47" s="85" t="s">
        <v>38</v>
      </c>
      <c r="E47" s="79" t="s">
        <v>87</v>
      </c>
      <c r="F47" s="79" t="s">
        <v>38</v>
      </c>
      <c r="G47" s="79" t="s">
        <v>87</v>
      </c>
      <c r="H47" s="79" t="s">
        <v>38</v>
      </c>
      <c r="I47" s="79" t="s">
        <v>87</v>
      </c>
      <c r="J47" s="85"/>
      <c r="L47" s="85"/>
      <c r="M47" s="85"/>
      <c r="N47" s="85"/>
      <c r="O47" s="85"/>
      <c r="P47" s="85"/>
      <c r="Q47" s="85"/>
      <c r="R47" s="85"/>
      <c r="S47" s="85"/>
      <c r="T47" s="85"/>
      <c r="U47" s="85"/>
      <c r="V47" s="85"/>
      <c r="W47" s="85"/>
      <c r="X47" s="85"/>
    </row>
    <row r="48" spans="1:24" ht="16.149999999999999" customHeight="1" x14ac:dyDescent="0.25">
      <c r="A48" s="87">
        <v>2021</v>
      </c>
      <c r="B48" s="78">
        <v>1</v>
      </c>
      <c r="C48" s="78">
        <v>0</v>
      </c>
      <c r="F48" s="78">
        <v>3</v>
      </c>
      <c r="G48" s="78">
        <v>9007743039</v>
      </c>
      <c r="J48" s="78">
        <v>4</v>
      </c>
      <c r="K48" s="78">
        <v>9007743039</v>
      </c>
    </row>
    <row r="49" spans="1:11" ht="16.149999999999999" customHeight="1" x14ac:dyDescent="0.25">
      <c r="A49" s="87" t="s">
        <v>4431</v>
      </c>
      <c r="D49" s="78">
        <v>1</v>
      </c>
      <c r="E49" s="78">
        <v>349318315</v>
      </c>
      <c r="J49" s="78">
        <v>1</v>
      </c>
      <c r="K49" s="78">
        <v>349318315</v>
      </c>
    </row>
    <row r="50" spans="1:11" ht="16.149999999999999" customHeight="1" x14ac:dyDescent="0.25">
      <c r="A50" s="87" t="s">
        <v>4432</v>
      </c>
      <c r="F50" s="78">
        <v>12</v>
      </c>
      <c r="G50" s="78">
        <v>5844643889</v>
      </c>
      <c r="J50" s="78">
        <v>12</v>
      </c>
      <c r="K50" s="78">
        <v>5844643889</v>
      </c>
    </row>
    <row r="51" spans="1:11" ht="16.149999999999999" customHeight="1" x14ac:dyDescent="0.25">
      <c r="A51" s="87" t="s">
        <v>4433</v>
      </c>
      <c r="F51" s="78">
        <v>15</v>
      </c>
      <c r="G51" s="78">
        <v>3308511798</v>
      </c>
      <c r="J51" s="78">
        <v>15</v>
      </c>
      <c r="K51" s="78">
        <v>3308511798</v>
      </c>
    </row>
    <row r="52" spans="1:11" ht="16.149999999999999" customHeight="1" x14ac:dyDescent="0.25">
      <c r="A52" s="87" t="s">
        <v>4434</v>
      </c>
      <c r="F52" s="78">
        <v>21</v>
      </c>
      <c r="G52" s="78">
        <v>16929834675</v>
      </c>
      <c r="H52" s="78">
        <v>1</v>
      </c>
      <c r="I52" s="78">
        <v>1240383280</v>
      </c>
      <c r="J52" s="78">
        <v>22</v>
      </c>
      <c r="K52" s="78">
        <v>18170217955</v>
      </c>
    </row>
    <row r="53" spans="1:11" ht="16.149999999999999" customHeight="1" x14ac:dyDescent="0.25">
      <c r="A53" s="87" t="s">
        <v>4435</v>
      </c>
      <c r="F53" s="78">
        <v>10</v>
      </c>
      <c r="G53" s="78">
        <v>11422990849</v>
      </c>
      <c r="H53" s="78">
        <v>1</v>
      </c>
      <c r="I53" s="78">
        <v>90170000</v>
      </c>
      <c r="J53" s="78">
        <v>11</v>
      </c>
      <c r="K53" s="78">
        <v>11513160849</v>
      </c>
    </row>
    <row r="54" spans="1:11" ht="16.149999999999999" customHeight="1" x14ac:dyDescent="0.25">
      <c r="A54" s="87" t="s">
        <v>4436</v>
      </c>
      <c r="D54" s="78">
        <v>7</v>
      </c>
      <c r="E54" s="78">
        <v>1216376687</v>
      </c>
      <c r="F54" s="78">
        <v>1</v>
      </c>
      <c r="G54" s="78">
        <v>3019654000</v>
      </c>
      <c r="J54" s="78">
        <v>8</v>
      </c>
      <c r="K54" s="78">
        <v>4236030687</v>
      </c>
    </row>
    <row r="55" spans="1:11" ht="16.149999999999999" customHeight="1" x14ac:dyDescent="0.25">
      <c r="A55" s="87" t="s">
        <v>4437</v>
      </c>
      <c r="D55" s="78">
        <v>3</v>
      </c>
      <c r="E55" s="78">
        <v>325232245</v>
      </c>
      <c r="F55" s="78">
        <v>3</v>
      </c>
      <c r="G55" s="78">
        <v>31405930095</v>
      </c>
      <c r="J55" s="78">
        <v>6</v>
      </c>
      <c r="K55" s="78">
        <v>31731162340</v>
      </c>
    </row>
    <row r="56" spans="1:11" ht="16.149999999999999" customHeight="1" x14ac:dyDescent="0.25">
      <c r="A56" s="87" t="s">
        <v>4438</v>
      </c>
      <c r="D56" s="78">
        <v>8</v>
      </c>
      <c r="E56" s="78">
        <v>16953816050</v>
      </c>
      <c r="F56" s="78">
        <v>2</v>
      </c>
      <c r="G56" s="78">
        <v>4371561579</v>
      </c>
      <c r="H56" s="78">
        <v>3</v>
      </c>
      <c r="J56" s="78">
        <v>13</v>
      </c>
      <c r="K56" s="78">
        <v>21325377629</v>
      </c>
    </row>
    <row r="57" spans="1:11" ht="16.149999999999999" customHeight="1" x14ac:dyDescent="0.25">
      <c r="A57" s="87" t="s">
        <v>4262</v>
      </c>
      <c r="D57" s="78">
        <v>8</v>
      </c>
      <c r="E57" s="78">
        <v>2679376278</v>
      </c>
      <c r="J57" s="78">
        <v>8</v>
      </c>
      <c r="K57" s="78">
        <v>2679376278</v>
      </c>
    </row>
    <row r="58" spans="1:11" ht="16.149999999999999" customHeight="1" x14ac:dyDescent="0.25">
      <c r="A58" s="87" t="s">
        <v>4271</v>
      </c>
      <c r="D58" s="78">
        <v>2</v>
      </c>
      <c r="E58" s="78">
        <v>521556440</v>
      </c>
      <c r="J58" s="78">
        <v>2</v>
      </c>
      <c r="K58" s="78">
        <v>521556440</v>
      </c>
    </row>
    <row r="59" spans="1:11" ht="16.149999999999999" customHeight="1" x14ac:dyDescent="0.25">
      <c r="A59" s="87" t="s">
        <v>4274</v>
      </c>
      <c r="D59" s="78">
        <v>11</v>
      </c>
      <c r="E59" s="78">
        <v>3564907363</v>
      </c>
      <c r="F59" s="78">
        <v>1</v>
      </c>
      <c r="G59" s="78">
        <v>3082804945</v>
      </c>
      <c r="H59" s="78">
        <v>3</v>
      </c>
      <c r="I59" s="78">
        <v>519740541</v>
      </c>
      <c r="J59" s="78">
        <v>15</v>
      </c>
      <c r="K59" s="78">
        <v>7167452849</v>
      </c>
    </row>
    <row r="60" spans="1:11" ht="16.149999999999999" customHeight="1" x14ac:dyDescent="0.25">
      <c r="A60" s="87" t="s">
        <v>4264</v>
      </c>
      <c r="H60" s="78">
        <v>2</v>
      </c>
      <c r="I60" s="78">
        <v>30059540616</v>
      </c>
      <c r="J60" s="78">
        <v>2</v>
      </c>
      <c r="K60" s="78">
        <v>30059540616</v>
      </c>
    </row>
    <row r="61" spans="1:11" ht="16.149999999999999" customHeight="1" x14ac:dyDescent="0.25">
      <c r="A61" s="87" t="s">
        <v>37</v>
      </c>
      <c r="B61" s="78">
        <v>1</v>
      </c>
      <c r="C61" s="78">
        <v>0</v>
      </c>
      <c r="D61" s="78">
        <v>40</v>
      </c>
      <c r="E61" s="78">
        <v>25610583378</v>
      </c>
      <c r="F61" s="78">
        <v>68</v>
      </c>
      <c r="G61" s="78">
        <v>88393674869</v>
      </c>
      <c r="H61" s="78">
        <v>10</v>
      </c>
      <c r="I61" s="78">
        <v>31909834437</v>
      </c>
      <c r="J61" s="78">
        <v>119</v>
      </c>
      <c r="K61" s="78">
        <v>145914092684</v>
      </c>
    </row>
    <row r="62" spans="1:11" ht="16.149999999999999" customHeight="1" x14ac:dyDescent="0.25">
      <c r="B62" s="79"/>
      <c r="C62" s="79"/>
      <c r="D62" s="79"/>
      <c r="E62" s="79"/>
      <c r="F62" s="79"/>
      <c r="G62" s="79"/>
    </row>
    <row r="63" spans="1:11" ht="16.149999999999999" customHeight="1" x14ac:dyDescent="0.25">
      <c r="A63" s="511" t="s">
        <v>78</v>
      </c>
      <c r="B63" s="511"/>
      <c r="C63" s="511"/>
      <c r="D63" s="511"/>
      <c r="E63" s="511"/>
      <c r="F63" s="511"/>
      <c r="G63" s="511"/>
      <c r="H63" s="511"/>
      <c r="I63" s="511"/>
    </row>
    <row r="64" spans="1:11" ht="16.149999999999999" customHeight="1" x14ac:dyDescent="0.25">
      <c r="A64" s="80" t="s">
        <v>19</v>
      </c>
      <c r="B64" s="78" t="s">
        <v>215</v>
      </c>
      <c r="D64" s="79"/>
      <c r="E64" s="79"/>
      <c r="F64" s="79"/>
      <c r="G64" s="79"/>
    </row>
    <row r="66" spans="1:24" ht="16.149999999999999" customHeight="1" x14ac:dyDescent="0.25">
      <c r="A66" s="81"/>
      <c r="B66" s="82" t="s">
        <v>39</v>
      </c>
      <c r="D66" s="83"/>
      <c r="E66" s="83"/>
      <c r="F66" s="83"/>
      <c r="G66" s="83"/>
      <c r="H66" s="83"/>
      <c r="I66" s="83"/>
      <c r="J66" s="83"/>
      <c r="K66" s="83"/>
      <c r="L66" s="83"/>
      <c r="M66" s="83"/>
      <c r="N66" s="83"/>
      <c r="O66" s="83"/>
    </row>
    <row r="67" spans="1:24" ht="16.149999999999999" customHeight="1" x14ac:dyDescent="0.25">
      <c r="A67" s="81"/>
      <c r="B67" s="85" t="s">
        <v>230</v>
      </c>
      <c r="C67" s="85"/>
      <c r="D67" s="85" t="s">
        <v>43</v>
      </c>
      <c r="E67" s="85"/>
      <c r="F67" s="85" t="s">
        <v>40</v>
      </c>
      <c r="G67" s="85"/>
      <c r="H67" s="85" t="s">
        <v>4429</v>
      </c>
      <c r="I67" s="85"/>
      <c r="J67" s="85" t="s">
        <v>4430</v>
      </c>
      <c r="K67" s="85"/>
      <c r="L67" s="85" t="s">
        <v>4444</v>
      </c>
      <c r="M67" s="85"/>
      <c r="N67" s="85" t="s">
        <v>88</v>
      </c>
      <c r="O67" s="84" t="s">
        <v>89</v>
      </c>
    </row>
    <row r="68" spans="1:24" s="84" customFormat="1" ht="45" x14ac:dyDescent="0.25">
      <c r="A68" s="86" t="s">
        <v>36</v>
      </c>
      <c r="B68" s="85" t="s">
        <v>38</v>
      </c>
      <c r="C68" s="84" t="s">
        <v>87</v>
      </c>
      <c r="D68" s="85" t="s">
        <v>38</v>
      </c>
      <c r="E68" s="84" t="s">
        <v>87</v>
      </c>
      <c r="F68" s="79" t="s">
        <v>38</v>
      </c>
      <c r="G68" s="79" t="s">
        <v>87</v>
      </c>
      <c r="H68" s="79" t="s">
        <v>38</v>
      </c>
      <c r="I68" s="79" t="s">
        <v>87</v>
      </c>
      <c r="J68" s="79" t="s">
        <v>38</v>
      </c>
      <c r="K68" s="79" t="s">
        <v>87</v>
      </c>
      <c r="L68" s="79" t="s">
        <v>38</v>
      </c>
      <c r="M68" s="79" t="s">
        <v>87</v>
      </c>
      <c r="N68" s="85"/>
      <c r="P68" s="85"/>
      <c r="Q68" s="85"/>
      <c r="R68" s="85"/>
      <c r="S68" s="85"/>
      <c r="T68" s="85"/>
      <c r="U68" s="85"/>
      <c r="V68" s="85"/>
      <c r="W68" s="85"/>
      <c r="X68" s="85"/>
    </row>
    <row r="69" spans="1:24" ht="16.149999999999999" customHeight="1" x14ac:dyDescent="0.25">
      <c r="A69" s="87">
        <v>2021</v>
      </c>
      <c r="B69" s="78">
        <v>1</v>
      </c>
      <c r="C69" s="78">
        <v>10376838023</v>
      </c>
      <c r="D69" s="78">
        <v>2</v>
      </c>
      <c r="E69" s="78">
        <v>5167301774</v>
      </c>
      <c r="F69" s="78">
        <v>2</v>
      </c>
      <c r="G69" s="78">
        <v>77999534724</v>
      </c>
      <c r="N69" s="78">
        <v>5</v>
      </c>
      <c r="O69" s="78">
        <v>93543674521</v>
      </c>
    </row>
    <row r="70" spans="1:24" ht="16.149999999999999" customHeight="1" x14ac:dyDescent="0.25">
      <c r="A70" s="87" t="s">
        <v>4431</v>
      </c>
      <c r="D70" s="78">
        <v>14</v>
      </c>
      <c r="E70" s="78">
        <v>1901773593</v>
      </c>
      <c r="J70" s="78">
        <v>11</v>
      </c>
      <c r="K70" s="78">
        <v>2398467994</v>
      </c>
      <c r="L70" s="78">
        <v>1</v>
      </c>
      <c r="M70" s="78">
        <v>157827595</v>
      </c>
      <c r="N70" s="78">
        <v>26</v>
      </c>
      <c r="O70" s="78">
        <v>4458069182</v>
      </c>
    </row>
    <row r="71" spans="1:24" ht="16.149999999999999" customHeight="1" x14ac:dyDescent="0.25">
      <c r="A71" s="87" t="s">
        <v>4432</v>
      </c>
      <c r="J71" s="78">
        <v>1</v>
      </c>
      <c r="K71" s="78">
        <v>9090372</v>
      </c>
      <c r="N71" s="78">
        <v>1</v>
      </c>
      <c r="O71" s="78">
        <v>9090372</v>
      </c>
    </row>
    <row r="72" spans="1:24" ht="16.149999999999999" customHeight="1" x14ac:dyDescent="0.25">
      <c r="A72" s="87" t="s">
        <v>4433</v>
      </c>
      <c r="F72" s="78">
        <v>8</v>
      </c>
      <c r="G72" s="78">
        <v>1907999706</v>
      </c>
      <c r="J72" s="78">
        <v>1</v>
      </c>
      <c r="K72" s="78">
        <v>0</v>
      </c>
      <c r="N72" s="78">
        <v>9</v>
      </c>
      <c r="O72" s="78">
        <v>1907999706</v>
      </c>
    </row>
    <row r="73" spans="1:24" ht="16.149999999999999" customHeight="1" x14ac:dyDescent="0.25">
      <c r="A73" s="87" t="s">
        <v>4434</v>
      </c>
      <c r="F73" s="78">
        <v>4</v>
      </c>
      <c r="G73" s="78">
        <v>266902720</v>
      </c>
      <c r="J73" s="78">
        <v>3</v>
      </c>
      <c r="K73" s="78">
        <v>5239617845</v>
      </c>
      <c r="N73" s="78">
        <v>7</v>
      </c>
      <c r="O73" s="78">
        <v>5506520565</v>
      </c>
    </row>
    <row r="74" spans="1:24" ht="16.149999999999999" customHeight="1" x14ac:dyDescent="0.25">
      <c r="A74" s="87" t="s">
        <v>4435</v>
      </c>
      <c r="F74" s="78">
        <v>3</v>
      </c>
      <c r="G74" s="78">
        <v>16025614330</v>
      </c>
      <c r="J74" s="78">
        <v>1</v>
      </c>
      <c r="N74" s="78">
        <v>4</v>
      </c>
      <c r="O74" s="78">
        <v>16025614330</v>
      </c>
    </row>
    <row r="75" spans="1:24" ht="16.149999999999999" customHeight="1" x14ac:dyDescent="0.25">
      <c r="A75" s="87" t="s">
        <v>4436</v>
      </c>
      <c r="D75" s="78">
        <v>2</v>
      </c>
      <c r="E75" s="78">
        <v>263567791</v>
      </c>
      <c r="F75" s="78">
        <v>1</v>
      </c>
      <c r="G75" s="78">
        <v>3570000</v>
      </c>
      <c r="J75" s="78">
        <v>1</v>
      </c>
      <c r="K75" s="78">
        <v>1240383280</v>
      </c>
      <c r="N75" s="78">
        <v>4</v>
      </c>
      <c r="O75" s="78">
        <v>1507521071</v>
      </c>
    </row>
    <row r="76" spans="1:24" ht="16.149999999999999" customHeight="1" x14ac:dyDescent="0.25">
      <c r="A76" s="87" t="s">
        <v>4437</v>
      </c>
      <c r="D76" s="78">
        <v>12</v>
      </c>
      <c r="E76" s="78">
        <v>2846051447</v>
      </c>
      <c r="F76" s="78">
        <v>9</v>
      </c>
      <c r="G76" s="78">
        <v>12616312579</v>
      </c>
      <c r="J76" s="78">
        <v>3</v>
      </c>
      <c r="K76" s="78">
        <v>295464881</v>
      </c>
      <c r="N76" s="78">
        <v>24</v>
      </c>
      <c r="O76" s="78">
        <v>15757828907</v>
      </c>
    </row>
    <row r="77" spans="1:24" ht="16.149999999999999" customHeight="1" x14ac:dyDescent="0.25">
      <c r="A77" s="87" t="s">
        <v>4438</v>
      </c>
      <c r="D77" s="78">
        <v>7</v>
      </c>
      <c r="E77" s="78">
        <v>2894596633</v>
      </c>
      <c r="F77" s="78">
        <v>3</v>
      </c>
      <c r="G77" s="78">
        <v>4544368666</v>
      </c>
      <c r="J77" s="78">
        <v>2</v>
      </c>
      <c r="K77" s="78">
        <v>220988500</v>
      </c>
      <c r="N77" s="78">
        <v>12</v>
      </c>
      <c r="O77" s="78">
        <v>7659953799</v>
      </c>
    </row>
    <row r="78" spans="1:24" ht="16.149999999999999" customHeight="1" x14ac:dyDescent="0.25">
      <c r="A78" s="87" t="s">
        <v>4262</v>
      </c>
      <c r="D78" s="78">
        <v>8</v>
      </c>
      <c r="E78" s="78">
        <v>1234432292</v>
      </c>
      <c r="F78" s="78">
        <v>3</v>
      </c>
      <c r="G78" s="78">
        <v>42798784212</v>
      </c>
      <c r="J78" s="78">
        <v>9</v>
      </c>
      <c r="K78" s="78">
        <v>4150195594</v>
      </c>
      <c r="N78" s="78">
        <v>20</v>
      </c>
      <c r="O78" s="78">
        <v>48183412098</v>
      </c>
    </row>
    <row r="79" spans="1:24" ht="16.149999999999999" customHeight="1" x14ac:dyDescent="0.25">
      <c r="A79" s="87" t="s">
        <v>4271</v>
      </c>
      <c r="D79" s="78">
        <v>1</v>
      </c>
      <c r="E79" s="78">
        <v>449226785</v>
      </c>
      <c r="J79" s="78">
        <v>2</v>
      </c>
      <c r="K79" s="78">
        <v>846534885</v>
      </c>
      <c r="N79" s="78">
        <v>3</v>
      </c>
      <c r="O79" s="78">
        <v>1295761670</v>
      </c>
    </row>
    <row r="80" spans="1:24" ht="16.149999999999999" customHeight="1" x14ac:dyDescent="0.25">
      <c r="A80" s="87" t="s">
        <v>4274</v>
      </c>
      <c r="D80" s="78">
        <v>7</v>
      </c>
      <c r="E80" s="78">
        <v>18624026478</v>
      </c>
      <c r="J80" s="78">
        <v>11</v>
      </c>
      <c r="K80" s="78">
        <v>10128113069</v>
      </c>
      <c r="N80" s="78">
        <v>18</v>
      </c>
      <c r="O80" s="78">
        <v>28752139547</v>
      </c>
    </row>
    <row r="81" spans="1:24" ht="16.149999999999999" customHeight="1" x14ac:dyDescent="0.25">
      <c r="A81" s="87" t="s">
        <v>4264</v>
      </c>
      <c r="D81" s="78">
        <v>1</v>
      </c>
      <c r="E81" s="78">
        <v>49405696</v>
      </c>
      <c r="H81" s="78">
        <v>2</v>
      </c>
      <c r="I81" s="78">
        <v>3174031062</v>
      </c>
      <c r="J81" s="78">
        <v>4</v>
      </c>
      <c r="K81" s="78">
        <v>802858452</v>
      </c>
      <c r="N81" s="78">
        <v>7</v>
      </c>
      <c r="O81" s="78">
        <v>4026295210</v>
      </c>
    </row>
    <row r="82" spans="1:24" ht="16.149999999999999" customHeight="1" x14ac:dyDescent="0.25">
      <c r="A82" s="87" t="s">
        <v>37</v>
      </c>
      <c r="B82" s="78">
        <v>1</v>
      </c>
      <c r="C82" s="78">
        <v>10376838023</v>
      </c>
      <c r="D82" s="78">
        <v>54</v>
      </c>
      <c r="E82" s="78">
        <v>33430382489</v>
      </c>
      <c r="F82" s="78">
        <v>33</v>
      </c>
      <c r="G82" s="78">
        <v>156163086937</v>
      </c>
      <c r="H82" s="78">
        <v>2</v>
      </c>
      <c r="I82" s="78">
        <v>3174031062</v>
      </c>
      <c r="J82" s="78">
        <v>49</v>
      </c>
      <c r="K82" s="78">
        <v>25331714872</v>
      </c>
      <c r="L82" s="78">
        <v>1</v>
      </c>
      <c r="M82" s="78">
        <v>157827595</v>
      </c>
      <c r="N82" s="78">
        <v>140</v>
      </c>
      <c r="O82" s="78">
        <v>228633880978</v>
      </c>
    </row>
    <row r="83" spans="1:24" ht="16.149999999999999" customHeight="1" x14ac:dyDescent="0.25">
      <c r="A83" s="87"/>
      <c r="J83" s="79"/>
      <c r="K83" s="79"/>
    </row>
    <row r="84" spans="1:24" ht="16.149999999999999" customHeight="1" x14ac:dyDescent="0.25">
      <c r="A84" s="511" t="s">
        <v>79</v>
      </c>
      <c r="B84" s="511"/>
      <c r="C84" s="511"/>
      <c r="D84" s="511"/>
      <c r="E84" s="511"/>
      <c r="F84" s="511"/>
      <c r="G84" s="511"/>
      <c r="H84" s="511"/>
      <c r="I84" s="511"/>
    </row>
    <row r="85" spans="1:24" ht="16.149999999999999" customHeight="1" x14ac:dyDescent="0.25">
      <c r="A85" s="80" t="s">
        <v>19</v>
      </c>
      <c r="B85" s="78" t="s">
        <v>3174</v>
      </c>
      <c r="D85" s="79"/>
      <c r="E85" s="79"/>
      <c r="F85" s="79"/>
      <c r="G85" s="79"/>
    </row>
    <row r="87" spans="1:24" ht="16.149999999999999" customHeight="1" x14ac:dyDescent="0.25">
      <c r="A87" s="81"/>
      <c r="B87" s="82" t="s">
        <v>39</v>
      </c>
      <c r="D87" s="83"/>
      <c r="E87" s="83"/>
      <c r="F87"/>
      <c r="G87"/>
      <c r="H87"/>
      <c r="I87"/>
      <c r="J87"/>
      <c r="K87"/>
      <c r="L87"/>
      <c r="M87"/>
      <c r="N87"/>
      <c r="O87"/>
    </row>
    <row r="88" spans="1:24" ht="16.149999999999999" customHeight="1" x14ac:dyDescent="0.25">
      <c r="A88" s="81"/>
      <c r="B88" s="85" t="s">
        <v>40</v>
      </c>
      <c r="C88" s="85"/>
      <c r="D88" s="85" t="s">
        <v>88</v>
      </c>
      <c r="E88" s="84" t="s">
        <v>89</v>
      </c>
      <c r="F88"/>
      <c r="G88"/>
      <c r="H88"/>
      <c r="I88"/>
      <c r="J88"/>
      <c r="K88"/>
      <c r="L88"/>
      <c r="M88"/>
      <c r="N88"/>
      <c r="O88"/>
    </row>
    <row r="89" spans="1:24" s="84" customFormat="1" ht="15" x14ac:dyDescent="0.25">
      <c r="A89" s="86" t="s">
        <v>36</v>
      </c>
      <c r="B89" s="79" t="s">
        <v>38</v>
      </c>
      <c r="C89" s="79" t="s">
        <v>87</v>
      </c>
      <c r="D89" s="85"/>
      <c r="F89"/>
      <c r="G89"/>
      <c r="H89"/>
      <c r="I89"/>
      <c r="J89"/>
      <c r="K89"/>
      <c r="L89"/>
      <c r="M89"/>
      <c r="N89"/>
      <c r="O89"/>
      <c r="P89" s="85"/>
      <c r="Q89" s="85"/>
      <c r="R89" s="85"/>
      <c r="S89" s="85"/>
      <c r="T89" s="85"/>
      <c r="U89" s="85"/>
      <c r="V89" s="85"/>
      <c r="W89" s="85"/>
      <c r="X89" s="85"/>
    </row>
    <row r="90" spans="1:24" ht="16.149999999999999" customHeight="1" x14ac:dyDescent="0.25">
      <c r="A90" s="87" t="s">
        <v>4264</v>
      </c>
      <c r="B90" s="78">
        <v>4</v>
      </c>
      <c r="C90" s="78">
        <v>32200023274</v>
      </c>
      <c r="D90" s="78">
        <v>4</v>
      </c>
      <c r="E90" s="78">
        <v>32200023274</v>
      </c>
      <c r="F90"/>
      <c r="G90"/>
      <c r="H90"/>
      <c r="I90"/>
      <c r="J90"/>
      <c r="K90"/>
      <c r="L90"/>
      <c r="M90"/>
      <c r="N90"/>
      <c r="O90"/>
    </row>
    <row r="91" spans="1:24" ht="16.149999999999999" customHeight="1" x14ac:dyDescent="0.25">
      <c r="A91" s="87" t="s">
        <v>37</v>
      </c>
      <c r="B91" s="78">
        <v>4</v>
      </c>
      <c r="C91" s="78">
        <v>32200023274</v>
      </c>
      <c r="D91" s="78">
        <v>4</v>
      </c>
      <c r="E91" s="78">
        <v>32200023274</v>
      </c>
      <c r="F91"/>
      <c r="G91"/>
      <c r="H91"/>
      <c r="I91"/>
      <c r="J91"/>
      <c r="K91"/>
      <c r="L91"/>
      <c r="M91"/>
      <c r="N91"/>
      <c r="O91"/>
    </row>
    <row r="92" spans="1:24" ht="16.149999999999999" customHeight="1" x14ac:dyDescent="0.25">
      <c r="A92"/>
      <c r="B92"/>
      <c r="C92"/>
      <c r="D92"/>
      <c r="E92"/>
      <c r="F92"/>
      <c r="G92"/>
      <c r="H92"/>
      <c r="I92"/>
      <c r="J92"/>
      <c r="K92"/>
      <c r="L92"/>
      <c r="M92"/>
      <c r="N92"/>
      <c r="O92"/>
    </row>
    <row r="93" spans="1:24" ht="16.149999999999999" customHeight="1" x14ac:dyDescent="0.25">
      <c r="A93"/>
      <c r="B93"/>
      <c r="C93"/>
      <c r="D93"/>
      <c r="E93"/>
      <c r="F93"/>
      <c r="G93"/>
      <c r="H93"/>
      <c r="I93"/>
      <c r="J93"/>
      <c r="K93"/>
      <c r="L93"/>
      <c r="M93"/>
      <c r="N93"/>
      <c r="O93"/>
    </row>
    <row r="94" spans="1:24" ht="16.149999999999999" customHeight="1" x14ac:dyDescent="0.25">
      <c r="A94"/>
      <c r="B94"/>
      <c r="C94"/>
      <c r="D94"/>
      <c r="E94"/>
      <c r="F94"/>
      <c r="G94"/>
      <c r="H94"/>
      <c r="I94"/>
      <c r="J94"/>
      <c r="K94"/>
      <c r="L94"/>
      <c r="M94"/>
      <c r="N94"/>
      <c r="O94"/>
    </row>
    <row r="95" spans="1:24" ht="16.149999999999999" customHeight="1" x14ac:dyDescent="0.25">
      <c r="A95"/>
      <c r="B95"/>
      <c r="C95"/>
      <c r="D95"/>
      <c r="E95"/>
      <c r="F95"/>
      <c r="G95"/>
      <c r="H95"/>
      <c r="I95"/>
      <c r="J95"/>
      <c r="K95"/>
      <c r="L95"/>
      <c r="M95"/>
      <c r="N95"/>
      <c r="O95"/>
    </row>
    <row r="96" spans="1:24" ht="16.149999999999999" customHeight="1" x14ac:dyDescent="0.25">
      <c r="A96"/>
      <c r="B96"/>
      <c r="C96"/>
      <c r="D96"/>
      <c r="E96"/>
      <c r="F96"/>
      <c r="G96"/>
      <c r="H96"/>
      <c r="I96"/>
      <c r="J96"/>
      <c r="K96"/>
      <c r="L96"/>
      <c r="M96"/>
      <c r="N96"/>
      <c r="O96"/>
    </row>
    <row r="97" spans="1:27" ht="16.149999999999999" customHeight="1" x14ac:dyDescent="0.25">
      <c r="A97"/>
      <c r="B97"/>
      <c r="C97"/>
      <c r="D97"/>
      <c r="E97"/>
      <c r="F97"/>
      <c r="G97"/>
      <c r="H97"/>
      <c r="I97"/>
      <c r="J97"/>
      <c r="K97"/>
      <c r="L97"/>
      <c r="M97"/>
      <c r="N97"/>
      <c r="O97"/>
    </row>
    <row r="98" spans="1:27" ht="16.149999999999999" customHeight="1" x14ac:dyDescent="0.25">
      <c r="A98"/>
      <c r="B98"/>
      <c r="C98"/>
      <c r="D98"/>
      <c r="E98"/>
      <c r="F98"/>
      <c r="G98"/>
      <c r="H98"/>
      <c r="I98"/>
      <c r="J98"/>
      <c r="K98"/>
      <c r="L98"/>
      <c r="M98"/>
      <c r="N98"/>
      <c r="O98"/>
    </row>
    <row r="99" spans="1:27" ht="16.149999999999999" customHeight="1" x14ac:dyDescent="0.25">
      <c r="A99"/>
      <c r="B99"/>
      <c r="C99"/>
      <c r="D99"/>
      <c r="E99"/>
      <c r="F99"/>
      <c r="G99"/>
      <c r="H99"/>
      <c r="I99"/>
      <c r="J99"/>
      <c r="K99"/>
      <c r="L99"/>
      <c r="M99"/>
      <c r="N99"/>
      <c r="O99"/>
    </row>
    <row r="100" spans="1:27" ht="16.149999999999999" customHeight="1" x14ac:dyDescent="0.25">
      <c r="A100"/>
      <c r="B100"/>
      <c r="C100"/>
      <c r="D100"/>
      <c r="E100"/>
      <c r="F100"/>
      <c r="G100"/>
      <c r="H100"/>
      <c r="I100"/>
      <c r="J100"/>
      <c r="K100"/>
      <c r="L100"/>
      <c r="M100"/>
      <c r="N100"/>
      <c r="O100"/>
    </row>
    <row r="101" spans="1:27" ht="16.149999999999999" customHeight="1" x14ac:dyDescent="0.25">
      <c r="A101"/>
      <c r="B101"/>
      <c r="C101"/>
      <c r="D101"/>
      <c r="E101"/>
      <c r="F101"/>
      <c r="G101"/>
      <c r="H101"/>
      <c r="I101"/>
      <c r="J101"/>
      <c r="K101"/>
      <c r="L101"/>
      <c r="M101"/>
      <c r="N101"/>
      <c r="O101"/>
    </row>
    <row r="102" spans="1:27" ht="16.149999999999999" customHeight="1" x14ac:dyDescent="0.25">
      <c r="A102"/>
      <c r="B102"/>
      <c r="C102"/>
      <c r="D102"/>
      <c r="E102"/>
      <c r="F102"/>
      <c r="G102"/>
      <c r="H102"/>
      <c r="I102"/>
      <c r="J102"/>
      <c r="K102"/>
      <c r="L102"/>
      <c r="M102"/>
      <c r="N102"/>
      <c r="O102"/>
    </row>
    <row r="103" spans="1:27" ht="16.149999999999999" customHeight="1" x14ac:dyDescent="0.25">
      <c r="A103"/>
      <c r="B103"/>
      <c r="C103"/>
      <c r="D103"/>
      <c r="E103"/>
      <c r="F103"/>
      <c r="G103"/>
      <c r="H103"/>
      <c r="I103"/>
      <c r="J103"/>
      <c r="K103"/>
      <c r="L103"/>
      <c r="M103"/>
      <c r="N103"/>
      <c r="O103"/>
    </row>
    <row r="104" spans="1:27" ht="16.149999999999999" customHeight="1" x14ac:dyDescent="0.25">
      <c r="A104" s="80" t="s">
        <v>19</v>
      </c>
      <c r="B104" s="78" t="s">
        <v>980</v>
      </c>
      <c r="D104" s="79"/>
      <c r="E104" s="79"/>
      <c r="F104" s="79"/>
      <c r="G104" s="79"/>
      <c r="N104" s="79"/>
      <c r="O104" s="79"/>
      <c r="P104" s="79"/>
      <c r="Q104" s="79"/>
      <c r="R104" s="79"/>
      <c r="S104" s="79"/>
      <c r="T104" s="79"/>
      <c r="U104" s="79"/>
    </row>
    <row r="105" spans="1:27" ht="16.149999999999999" customHeight="1" x14ac:dyDescent="0.25">
      <c r="N105" s="79"/>
      <c r="O105" s="79"/>
      <c r="P105" s="79"/>
      <c r="Q105" s="79"/>
      <c r="R105" s="79"/>
      <c r="S105" s="79"/>
      <c r="T105" s="79"/>
      <c r="U105" s="79"/>
    </row>
    <row r="106" spans="1:27" ht="16.149999999999999" customHeight="1" x14ac:dyDescent="0.25">
      <c r="A106" s="81"/>
      <c r="B106" s="88" t="s">
        <v>39</v>
      </c>
      <c r="C106" s="83"/>
      <c r="D106" s="83"/>
      <c r="E106" s="83"/>
      <c r="F106" s="83"/>
      <c r="G106" s="83"/>
      <c r="H106" s="83"/>
      <c r="I106" s="83"/>
      <c r="J106" s="83"/>
      <c r="K106" s="83"/>
      <c r="L106" s="83"/>
      <c r="M106" s="83"/>
      <c r="N106" s="83"/>
      <c r="O106" s="83"/>
      <c r="P106" s="83"/>
      <c r="Q106" s="83"/>
      <c r="R106" s="83"/>
      <c r="S106" s="83"/>
      <c r="T106" s="83"/>
      <c r="U106" s="83"/>
      <c r="V106"/>
      <c r="W106"/>
      <c r="X106"/>
      <c r="Y106"/>
      <c r="Z106"/>
      <c r="AA106"/>
    </row>
    <row r="107" spans="1:27" ht="16.149999999999999" customHeight="1" x14ac:dyDescent="0.25">
      <c r="A107" s="81"/>
      <c r="B107" s="81" t="s">
        <v>324</v>
      </c>
      <c r="C107" s="81"/>
      <c r="D107" s="81" t="s">
        <v>332</v>
      </c>
      <c r="E107" s="81"/>
      <c r="F107" s="81" t="s">
        <v>661</v>
      </c>
      <c r="G107" s="81"/>
      <c r="H107" s="81" t="s">
        <v>359</v>
      </c>
      <c r="I107" s="81"/>
      <c r="J107" s="81" t="s">
        <v>28</v>
      </c>
      <c r="K107" s="81"/>
      <c r="L107" s="81" t="s">
        <v>32</v>
      </c>
      <c r="M107" s="81"/>
      <c r="N107" s="81" t="s">
        <v>33</v>
      </c>
      <c r="O107" s="81"/>
      <c r="P107" s="81" t="s">
        <v>2139</v>
      </c>
      <c r="Q107" s="81"/>
      <c r="R107" s="81" t="s">
        <v>1559</v>
      </c>
      <c r="S107" s="81"/>
      <c r="T107" s="84" t="s">
        <v>88</v>
      </c>
      <c r="U107" s="84" t="s">
        <v>89</v>
      </c>
      <c r="V107"/>
      <c r="W107"/>
      <c r="X107"/>
      <c r="Y107"/>
      <c r="Z107"/>
      <c r="AA107"/>
    </row>
    <row r="108" spans="1:27" s="84" customFormat="1" ht="19.149999999999999" customHeight="1" x14ac:dyDescent="0.25">
      <c r="A108" s="86" t="s">
        <v>36</v>
      </c>
      <c r="B108" s="84" t="s">
        <v>38</v>
      </c>
      <c r="C108" s="84" t="s">
        <v>87</v>
      </c>
      <c r="D108" s="84" t="s">
        <v>38</v>
      </c>
      <c r="E108" s="84" t="s">
        <v>87</v>
      </c>
      <c r="F108" s="84" t="s">
        <v>38</v>
      </c>
      <c r="G108" s="84" t="s">
        <v>87</v>
      </c>
      <c r="H108" s="84" t="s">
        <v>38</v>
      </c>
      <c r="I108" s="84" t="s">
        <v>87</v>
      </c>
      <c r="J108" s="84" t="s">
        <v>38</v>
      </c>
      <c r="K108" s="84" t="s">
        <v>87</v>
      </c>
      <c r="L108" s="84" t="s">
        <v>38</v>
      </c>
      <c r="M108" s="84" t="s">
        <v>87</v>
      </c>
      <c r="N108" s="84" t="s">
        <v>38</v>
      </c>
      <c r="O108" s="84" t="s">
        <v>87</v>
      </c>
      <c r="P108" s="79" t="s">
        <v>38</v>
      </c>
      <c r="Q108" s="79" t="s">
        <v>87</v>
      </c>
      <c r="R108" s="79" t="s">
        <v>38</v>
      </c>
      <c r="S108" s="79" t="s">
        <v>87</v>
      </c>
      <c r="V108"/>
      <c r="W108"/>
      <c r="X108"/>
      <c r="Y108"/>
      <c r="Z108"/>
      <c r="AA108"/>
    </row>
    <row r="109" spans="1:27" ht="16.149999999999999" customHeight="1" x14ac:dyDescent="0.25">
      <c r="A109" s="87">
        <v>2021</v>
      </c>
      <c r="J109" s="78">
        <v>6</v>
      </c>
      <c r="K109" s="78">
        <v>84102836498</v>
      </c>
      <c r="L109" s="78">
        <v>8</v>
      </c>
      <c r="M109" s="78">
        <v>350909380014</v>
      </c>
      <c r="N109" s="78">
        <v>1</v>
      </c>
      <c r="O109" s="78">
        <v>0</v>
      </c>
      <c r="T109" s="78">
        <v>15</v>
      </c>
      <c r="U109" s="78">
        <v>435012216512</v>
      </c>
      <c r="V109"/>
      <c r="W109"/>
      <c r="X109"/>
      <c r="Y109"/>
      <c r="Z109"/>
      <c r="AA109"/>
    </row>
    <row r="110" spans="1:27" ht="16.149999999999999" customHeight="1" x14ac:dyDescent="0.25">
      <c r="A110" s="87" t="s">
        <v>4431</v>
      </c>
      <c r="B110" s="78">
        <v>1</v>
      </c>
      <c r="C110" s="78">
        <v>41000000</v>
      </c>
      <c r="D110" s="78">
        <v>28</v>
      </c>
      <c r="E110" s="78">
        <v>5758799783</v>
      </c>
      <c r="F110" s="78">
        <v>1</v>
      </c>
      <c r="G110" s="78">
        <v>84605611</v>
      </c>
      <c r="H110" s="78">
        <v>18</v>
      </c>
      <c r="I110" s="78">
        <v>6855183517</v>
      </c>
      <c r="J110" s="78">
        <v>36</v>
      </c>
      <c r="K110" s="78">
        <v>12815243586</v>
      </c>
      <c r="L110" s="78">
        <v>26</v>
      </c>
      <c r="M110" s="78">
        <v>4240676713</v>
      </c>
      <c r="N110" s="78">
        <v>8</v>
      </c>
      <c r="O110" s="78">
        <v>1087999744</v>
      </c>
      <c r="R110" s="78">
        <v>2</v>
      </c>
      <c r="S110" s="78">
        <v>265734133</v>
      </c>
      <c r="T110" s="78">
        <v>120</v>
      </c>
      <c r="U110" s="78">
        <v>31149243087</v>
      </c>
      <c r="V110"/>
      <c r="W110"/>
      <c r="X110"/>
      <c r="Y110"/>
      <c r="Z110"/>
      <c r="AA110"/>
    </row>
    <row r="111" spans="1:27" ht="16.149999999999999" customHeight="1" x14ac:dyDescent="0.25">
      <c r="A111" s="87" t="s">
        <v>4432</v>
      </c>
      <c r="F111" s="78">
        <v>1</v>
      </c>
      <c r="G111" s="78">
        <v>500000000</v>
      </c>
      <c r="H111" s="78">
        <v>3</v>
      </c>
      <c r="I111" s="78">
        <v>3032550357</v>
      </c>
      <c r="J111" s="78">
        <v>21</v>
      </c>
      <c r="K111" s="78">
        <v>6585849515</v>
      </c>
      <c r="N111" s="78">
        <v>1</v>
      </c>
      <c r="O111" s="78">
        <v>1363682642</v>
      </c>
      <c r="T111" s="78">
        <v>26</v>
      </c>
      <c r="U111" s="78">
        <v>11482082514</v>
      </c>
      <c r="V111"/>
      <c r="W111"/>
      <c r="X111"/>
      <c r="Y111"/>
      <c r="Z111"/>
      <c r="AA111"/>
    </row>
    <row r="112" spans="1:27" ht="16.149999999999999" customHeight="1" x14ac:dyDescent="0.25">
      <c r="A112" s="87" t="s">
        <v>4433</v>
      </c>
      <c r="D112" s="78">
        <v>6</v>
      </c>
      <c r="E112" s="78">
        <v>2976871071</v>
      </c>
      <c r="H112" s="78">
        <v>5</v>
      </c>
      <c r="I112" s="78">
        <v>4242821689</v>
      </c>
      <c r="J112" s="78">
        <v>42</v>
      </c>
      <c r="K112" s="78">
        <v>24616345029.599998</v>
      </c>
      <c r="L112" s="78">
        <v>6</v>
      </c>
      <c r="M112" s="78">
        <v>6473384666.5263157</v>
      </c>
      <c r="N112" s="78">
        <v>3</v>
      </c>
      <c r="O112" s="78">
        <v>3118748044</v>
      </c>
      <c r="T112" s="78">
        <v>62</v>
      </c>
      <c r="U112" s="78">
        <v>41428170500.126312</v>
      </c>
      <c r="V112"/>
      <c r="W112"/>
      <c r="X112"/>
      <c r="Y112"/>
      <c r="Z112"/>
      <c r="AA112"/>
    </row>
    <row r="113" spans="1:27" ht="16.149999999999999" customHeight="1" x14ac:dyDescent="0.25">
      <c r="A113" s="87" t="s">
        <v>4434</v>
      </c>
      <c r="D113" s="78">
        <v>4</v>
      </c>
      <c r="E113" s="78">
        <v>3091710664</v>
      </c>
      <c r="H113" s="78">
        <v>6</v>
      </c>
      <c r="I113" s="78">
        <v>3355343378</v>
      </c>
      <c r="J113" s="78">
        <v>27</v>
      </c>
      <c r="K113" s="78">
        <v>25002381976</v>
      </c>
      <c r="L113" s="78">
        <v>6</v>
      </c>
      <c r="M113" s="78">
        <v>2882716080</v>
      </c>
      <c r="T113" s="78">
        <v>43</v>
      </c>
      <c r="U113" s="78">
        <v>34332152098</v>
      </c>
      <c r="V113"/>
      <c r="W113"/>
      <c r="X113"/>
      <c r="Y113"/>
      <c r="Z113"/>
      <c r="AA113"/>
    </row>
    <row r="114" spans="1:27" ht="16.149999999999999" customHeight="1" x14ac:dyDescent="0.25">
      <c r="A114" s="87" t="s">
        <v>4435</v>
      </c>
      <c r="D114" s="78">
        <v>7</v>
      </c>
      <c r="E114" s="78">
        <v>5556451147</v>
      </c>
      <c r="F114" s="78">
        <v>1</v>
      </c>
      <c r="G114" s="78">
        <v>165300000</v>
      </c>
      <c r="H114" s="78">
        <v>2</v>
      </c>
      <c r="I114" s="78">
        <v>385218440</v>
      </c>
      <c r="J114" s="78">
        <v>15</v>
      </c>
      <c r="K114" s="78">
        <v>31845114625</v>
      </c>
      <c r="L114" s="78">
        <v>8</v>
      </c>
      <c r="M114" s="78">
        <v>11818543897</v>
      </c>
      <c r="N114" s="78">
        <v>2</v>
      </c>
      <c r="O114" s="78">
        <v>4224294722</v>
      </c>
      <c r="R114" s="78">
        <v>1</v>
      </c>
      <c r="S114" s="78">
        <v>1000000000</v>
      </c>
      <c r="T114" s="78">
        <v>36</v>
      </c>
      <c r="U114" s="78">
        <v>54994922831</v>
      </c>
      <c r="V114"/>
      <c r="W114"/>
      <c r="X114"/>
      <c r="Y114"/>
      <c r="Z114"/>
      <c r="AA114"/>
    </row>
    <row r="115" spans="1:27" ht="16.149999999999999" customHeight="1" x14ac:dyDescent="0.25">
      <c r="A115" s="87" t="s">
        <v>4436</v>
      </c>
      <c r="D115" s="78">
        <v>1</v>
      </c>
      <c r="E115" s="78">
        <v>440318278</v>
      </c>
      <c r="F115" s="78">
        <v>1</v>
      </c>
      <c r="G115" s="78">
        <v>165300000</v>
      </c>
      <c r="H115" s="78">
        <v>4</v>
      </c>
      <c r="I115" s="78">
        <v>2085553280</v>
      </c>
      <c r="J115" s="78">
        <v>26</v>
      </c>
      <c r="K115" s="78">
        <v>7973003860</v>
      </c>
      <c r="L115" s="78">
        <v>8</v>
      </c>
      <c r="M115" s="78">
        <v>5426650349</v>
      </c>
      <c r="N115" s="78">
        <v>4</v>
      </c>
      <c r="O115" s="78">
        <v>86969578</v>
      </c>
      <c r="P115" s="78">
        <v>1</v>
      </c>
      <c r="Q115" s="78">
        <v>3570000</v>
      </c>
      <c r="R115" s="78">
        <v>1</v>
      </c>
      <c r="S115" s="78">
        <v>241804143</v>
      </c>
      <c r="T115" s="78">
        <v>46</v>
      </c>
      <c r="U115" s="78">
        <v>16423169488</v>
      </c>
      <c r="V115"/>
      <c r="W115"/>
      <c r="X115"/>
      <c r="Y115"/>
      <c r="Z115"/>
      <c r="AA115"/>
    </row>
    <row r="116" spans="1:27" ht="16.149999999999999" customHeight="1" x14ac:dyDescent="0.25">
      <c r="A116" s="87" t="s">
        <v>4437</v>
      </c>
      <c r="J116" s="78">
        <v>1</v>
      </c>
      <c r="K116" s="78">
        <v>26256453</v>
      </c>
      <c r="T116" s="78">
        <v>1</v>
      </c>
      <c r="U116" s="78">
        <v>26256453</v>
      </c>
      <c r="V116"/>
      <c r="W116"/>
      <c r="X116"/>
      <c r="Y116"/>
      <c r="Z116"/>
      <c r="AA116"/>
    </row>
    <row r="117" spans="1:27" ht="16.149999999999999" customHeight="1" x14ac:dyDescent="0.25">
      <c r="A117" s="87" t="s">
        <v>37</v>
      </c>
      <c r="B117" s="78">
        <v>1</v>
      </c>
      <c r="C117" s="78">
        <v>41000000</v>
      </c>
      <c r="D117" s="78">
        <v>46</v>
      </c>
      <c r="E117" s="78">
        <v>17824150943</v>
      </c>
      <c r="F117" s="78">
        <v>4</v>
      </c>
      <c r="G117" s="78">
        <v>915205611</v>
      </c>
      <c r="H117" s="78">
        <v>38</v>
      </c>
      <c r="I117" s="78">
        <v>19956670661</v>
      </c>
      <c r="J117" s="78">
        <v>174</v>
      </c>
      <c r="K117" s="78">
        <v>192967031542.60001</v>
      </c>
      <c r="L117" s="78">
        <v>62</v>
      </c>
      <c r="M117" s="78">
        <v>381751351719.52637</v>
      </c>
      <c r="N117" s="78">
        <v>19</v>
      </c>
      <c r="O117" s="78">
        <v>9881694730</v>
      </c>
      <c r="P117" s="78">
        <v>1</v>
      </c>
      <c r="Q117" s="78">
        <v>3570000</v>
      </c>
      <c r="R117" s="78">
        <v>4</v>
      </c>
      <c r="S117" s="78">
        <v>1507538276</v>
      </c>
      <c r="T117" s="78">
        <v>349</v>
      </c>
      <c r="U117" s="78">
        <v>624848213483.12634</v>
      </c>
      <c r="V117"/>
      <c r="W117"/>
      <c r="X117"/>
      <c r="Y117"/>
      <c r="Z117"/>
      <c r="AA117"/>
    </row>
    <row r="118" spans="1:27" ht="16.149999999999999" customHeight="1" x14ac:dyDescent="0.25">
      <c r="A118"/>
      <c r="B118"/>
      <c r="C118"/>
      <c r="D118"/>
      <c r="E118"/>
      <c r="F118"/>
      <c r="G118"/>
      <c r="H118"/>
      <c r="I118"/>
      <c r="J118"/>
      <c r="K118"/>
      <c r="L118"/>
      <c r="M118"/>
      <c r="N118"/>
      <c r="O118"/>
      <c r="P118"/>
      <c r="Q118"/>
      <c r="R118"/>
      <c r="S118"/>
      <c r="T118"/>
      <c r="U118"/>
      <c r="V118"/>
      <c r="W118"/>
      <c r="X118"/>
      <c r="Y118"/>
      <c r="Z118"/>
      <c r="AA118"/>
    </row>
    <row r="119" spans="1:27" ht="16.149999999999999" customHeight="1" x14ac:dyDescent="0.25">
      <c r="A119"/>
      <c r="B119"/>
      <c r="C119"/>
      <c r="D119"/>
      <c r="E119"/>
      <c r="F119"/>
      <c r="G119"/>
      <c r="H119"/>
      <c r="I119"/>
      <c r="J119"/>
      <c r="K119"/>
      <c r="L119"/>
      <c r="M119"/>
      <c r="N119"/>
      <c r="O119"/>
      <c r="P119"/>
      <c r="Q119"/>
      <c r="R119"/>
      <c r="S119"/>
      <c r="T119"/>
      <c r="U119"/>
      <c r="V119"/>
      <c r="W119"/>
      <c r="X119"/>
      <c r="Y119"/>
      <c r="Z119"/>
      <c r="AA119"/>
    </row>
    <row r="120" spans="1:27" ht="16.149999999999999" customHeight="1" x14ac:dyDescent="0.25">
      <c r="A120"/>
      <c r="B120"/>
      <c r="C120"/>
      <c r="D120"/>
      <c r="E120"/>
      <c r="F120"/>
      <c r="G120"/>
      <c r="H120"/>
      <c r="I120"/>
      <c r="J120"/>
      <c r="K120"/>
      <c r="L120"/>
      <c r="M120"/>
      <c r="N120"/>
      <c r="O120"/>
      <c r="P120"/>
      <c r="Q120"/>
      <c r="R120"/>
      <c r="S120"/>
      <c r="T120"/>
      <c r="U120"/>
      <c r="V120"/>
      <c r="W120"/>
      <c r="X120"/>
      <c r="Y120"/>
      <c r="Z120"/>
      <c r="AA120"/>
    </row>
    <row r="121" spans="1:27" ht="16.149999999999999" customHeight="1" x14ac:dyDescent="0.25">
      <c r="A121"/>
      <c r="B121"/>
      <c r="C121"/>
      <c r="D121"/>
      <c r="E121"/>
      <c r="F121"/>
      <c r="G121"/>
      <c r="H121"/>
      <c r="I121"/>
      <c r="J121"/>
      <c r="K121"/>
      <c r="L121"/>
      <c r="M121"/>
      <c r="N121"/>
      <c r="O121"/>
      <c r="P121"/>
      <c r="Q121"/>
      <c r="R121"/>
      <c r="S121"/>
      <c r="T121"/>
      <c r="U121"/>
      <c r="V121"/>
      <c r="W121"/>
      <c r="X121"/>
      <c r="Y121"/>
      <c r="Z121"/>
      <c r="AA121"/>
    </row>
    <row r="122" spans="1:27" ht="16.149999999999999" customHeight="1" x14ac:dyDescent="0.25">
      <c r="A122" s="87"/>
      <c r="Y122" s="78"/>
      <c r="Z122" s="78"/>
      <c r="AA122" s="78"/>
    </row>
    <row r="123" spans="1:27" ht="16.149999999999999" customHeight="1" x14ac:dyDescent="0.25">
      <c r="A123"/>
      <c r="B123"/>
      <c r="C123"/>
      <c r="D123"/>
      <c r="E123"/>
      <c r="F123"/>
      <c r="G123"/>
      <c r="H123"/>
      <c r="I123"/>
      <c r="J123"/>
      <c r="K123"/>
      <c r="L123"/>
      <c r="M123"/>
      <c r="N123"/>
      <c r="O123"/>
      <c r="P123"/>
      <c r="Q123"/>
      <c r="R123"/>
      <c r="S123"/>
      <c r="T123"/>
      <c r="U123"/>
    </row>
    <row r="124" spans="1:27" ht="16.149999999999999" customHeight="1" x14ac:dyDescent="0.25">
      <c r="A124" s="511" t="s">
        <v>3991</v>
      </c>
      <c r="B124" s="511"/>
      <c r="C124" s="511"/>
      <c r="D124" s="511"/>
      <c r="E124" s="511"/>
      <c r="F124" s="511"/>
      <c r="G124" s="511"/>
      <c r="H124" s="511"/>
      <c r="I124" s="511"/>
      <c r="J124" s="511"/>
      <c r="K124" s="511"/>
      <c r="L124"/>
      <c r="M124"/>
      <c r="N124"/>
      <c r="O124"/>
      <c r="P124"/>
      <c r="Q124"/>
      <c r="R124"/>
      <c r="S124"/>
      <c r="T124"/>
      <c r="U124"/>
    </row>
    <row r="125" spans="1:27" ht="16.149999999999999" customHeight="1" x14ac:dyDescent="0.25">
      <c r="A125" s="80" t="s">
        <v>19</v>
      </c>
      <c r="B125" s="78" t="s">
        <v>169</v>
      </c>
    </row>
    <row r="126" spans="1:27" ht="16.149999999999999" customHeight="1" x14ac:dyDescent="0.25">
      <c r="A126" s="80" t="s">
        <v>26</v>
      </c>
      <c r="B126" s="79" t="s">
        <v>980</v>
      </c>
      <c r="D126" s="79"/>
      <c r="E126" s="79"/>
      <c r="F126" s="79"/>
      <c r="G126" s="79"/>
    </row>
    <row r="128" spans="1:27" ht="16.149999999999999" customHeight="1" x14ac:dyDescent="0.25">
      <c r="A128" s="81"/>
      <c r="B128" s="82" t="s">
        <v>39</v>
      </c>
      <c r="C128" s="83"/>
      <c r="D128" s="83"/>
      <c r="E128" s="83"/>
      <c r="F128" s="83"/>
      <c r="G128" s="83"/>
      <c r="H128" s="83"/>
      <c r="I128" s="83"/>
      <c r="J128" s="83"/>
      <c r="K128" s="83"/>
      <c r="L128" s="79"/>
      <c r="M128" s="79"/>
    </row>
    <row r="129" spans="1:13" ht="16.149999999999999" customHeight="1" x14ac:dyDescent="0.25">
      <c r="A129" s="81"/>
      <c r="B129" s="85" t="s">
        <v>230</v>
      </c>
      <c r="C129" s="85"/>
      <c r="D129" s="85" t="s">
        <v>43</v>
      </c>
      <c r="E129" s="85"/>
      <c r="F129" s="85" t="s">
        <v>40</v>
      </c>
      <c r="G129" s="85"/>
      <c r="H129" s="85" t="s">
        <v>1856</v>
      </c>
      <c r="I129" s="85"/>
      <c r="J129" s="84" t="s">
        <v>88</v>
      </c>
      <c r="K129" s="84" t="s">
        <v>90</v>
      </c>
      <c r="L129" s="79"/>
      <c r="M129" s="79"/>
    </row>
    <row r="130" spans="1:13" ht="18.600000000000001" customHeight="1" x14ac:dyDescent="0.25">
      <c r="A130" s="80" t="s">
        <v>36</v>
      </c>
      <c r="B130" s="79" t="s">
        <v>38</v>
      </c>
      <c r="C130" s="79" t="s">
        <v>981</v>
      </c>
      <c r="D130" s="79" t="s">
        <v>38</v>
      </c>
      <c r="E130" s="79" t="s">
        <v>981</v>
      </c>
      <c r="F130" s="79" t="s">
        <v>38</v>
      </c>
      <c r="G130" s="79" t="s">
        <v>981</v>
      </c>
      <c r="H130" s="79" t="s">
        <v>38</v>
      </c>
      <c r="I130" s="79" t="s">
        <v>981</v>
      </c>
      <c r="J130" s="84"/>
      <c r="K130" s="84"/>
      <c r="L130" s="79"/>
      <c r="M130" s="79"/>
    </row>
    <row r="131" spans="1:13" ht="16.149999999999999" customHeight="1" x14ac:dyDescent="0.25">
      <c r="A131" s="87" t="s">
        <v>324</v>
      </c>
      <c r="D131" s="78">
        <v>1</v>
      </c>
      <c r="E131" s="78">
        <v>39612720</v>
      </c>
      <c r="J131" s="78">
        <v>1</v>
      </c>
      <c r="K131" s="78">
        <v>39612720</v>
      </c>
      <c r="L131" s="79"/>
      <c r="M131" s="79"/>
    </row>
    <row r="132" spans="1:13" ht="16.149999999999999" customHeight="1" x14ac:dyDescent="0.25">
      <c r="A132" s="87" t="s">
        <v>332</v>
      </c>
      <c r="B132" s="78">
        <v>18</v>
      </c>
      <c r="C132" s="78">
        <v>5968550196</v>
      </c>
      <c r="D132" s="78">
        <v>34</v>
      </c>
      <c r="E132" s="78">
        <v>9233197951</v>
      </c>
      <c r="F132" s="78">
        <v>6</v>
      </c>
      <c r="G132" s="78">
        <v>9587425598</v>
      </c>
      <c r="H132" s="78">
        <v>2</v>
      </c>
      <c r="I132" s="78">
        <v>261283715</v>
      </c>
      <c r="J132" s="78">
        <v>60</v>
      </c>
      <c r="K132" s="78">
        <v>25050457460</v>
      </c>
      <c r="L132" s="79"/>
      <c r="M132" s="79"/>
    </row>
    <row r="133" spans="1:13" ht="16.149999999999999" customHeight="1" x14ac:dyDescent="0.25">
      <c r="A133" s="87" t="s">
        <v>3220</v>
      </c>
      <c r="D133" s="78">
        <v>1</v>
      </c>
      <c r="E133" s="78">
        <v>1402851900</v>
      </c>
      <c r="J133" s="78">
        <v>1</v>
      </c>
      <c r="K133" s="78">
        <v>1402851900</v>
      </c>
      <c r="L133" s="79"/>
      <c r="M133" s="79"/>
    </row>
    <row r="134" spans="1:13" ht="16.149999999999999" customHeight="1" x14ac:dyDescent="0.25">
      <c r="A134" s="87" t="s">
        <v>2139</v>
      </c>
      <c r="D134" s="78">
        <v>1</v>
      </c>
      <c r="E134" s="78">
        <v>400000000</v>
      </c>
      <c r="J134" s="78">
        <v>1</v>
      </c>
      <c r="K134" s="78">
        <v>400000000</v>
      </c>
      <c r="L134" s="79"/>
      <c r="M134" s="79"/>
    </row>
    <row r="135" spans="1:13" ht="16.149999999999999" customHeight="1" x14ac:dyDescent="0.25">
      <c r="A135" s="87" t="s">
        <v>661</v>
      </c>
      <c r="D135" s="78">
        <v>2</v>
      </c>
      <c r="E135" s="78">
        <v>223749931</v>
      </c>
      <c r="J135" s="78">
        <v>2</v>
      </c>
      <c r="K135" s="78">
        <v>223749931</v>
      </c>
      <c r="L135" s="79"/>
      <c r="M135" s="79"/>
    </row>
    <row r="136" spans="1:13" ht="16.149999999999999" customHeight="1" x14ac:dyDescent="0.25">
      <c r="A136" s="87" t="s">
        <v>359</v>
      </c>
      <c r="D136" s="78">
        <v>24</v>
      </c>
      <c r="E136" s="78">
        <v>8626002216</v>
      </c>
      <c r="F136" s="78">
        <v>8</v>
      </c>
      <c r="G136" s="78">
        <v>8891731457</v>
      </c>
      <c r="J136" s="78">
        <v>32</v>
      </c>
      <c r="K136" s="78">
        <v>17517733673</v>
      </c>
      <c r="L136" s="79"/>
      <c r="M136" s="79"/>
    </row>
    <row r="137" spans="1:13" ht="16.149999999999999" customHeight="1" x14ac:dyDescent="0.25">
      <c r="A137" s="87" t="s">
        <v>28</v>
      </c>
      <c r="B137" s="78">
        <v>41</v>
      </c>
      <c r="C137" s="78">
        <v>41643480105.400002</v>
      </c>
      <c r="D137" s="78">
        <v>99</v>
      </c>
      <c r="E137" s="78">
        <v>21735733728</v>
      </c>
      <c r="F137" s="78">
        <v>32</v>
      </c>
      <c r="G137" s="78">
        <v>29051774118</v>
      </c>
      <c r="J137" s="78">
        <v>172</v>
      </c>
      <c r="K137" s="78">
        <v>92430987951.399994</v>
      </c>
      <c r="L137" s="79"/>
      <c r="M137" s="79"/>
    </row>
    <row r="138" spans="1:13" ht="16.149999999999999" customHeight="1" x14ac:dyDescent="0.25">
      <c r="A138" s="87" t="s">
        <v>32</v>
      </c>
      <c r="B138" s="78">
        <v>10</v>
      </c>
      <c r="C138" s="78">
        <v>11032187264</v>
      </c>
      <c r="D138" s="78">
        <v>47</v>
      </c>
      <c r="E138" s="78">
        <v>9118360476</v>
      </c>
      <c r="F138" s="78">
        <v>6</v>
      </c>
      <c r="G138" s="78">
        <v>332805452339</v>
      </c>
      <c r="J138" s="78">
        <v>63</v>
      </c>
      <c r="K138" s="78">
        <v>352956000079</v>
      </c>
      <c r="L138" s="79"/>
      <c r="M138" s="79"/>
    </row>
    <row r="139" spans="1:13" ht="16.149999999999999" customHeight="1" x14ac:dyDescent="0.25">
      <c r="A139" s="87" t="s">
        <v>33</v>
      </c>
      <c r="B139" s="78">
        <v>4</v>
      </c>
      <c r="C139" s="78">
        <v>4463399037</v>
      </c>
      <c r="D139" s="78">
        <v>26</v>
      </c>
      <c r="E139" s="78">
        <v>4363127168</v>
      </c>
      <c r="F139" s="78">
        <v>2</v>
      </c>
      <c r="G139" s="78">
        <v>4108964075</v>
      </c>
      <c r="J139" s="78">
        <v>32</v>
      </c>
      <c r="K139" s="78">
        <v>12935490280</v>
      </c>
      <c r="L139" s="79"/>
      <c r="M139" s="79"/>
    </row>
    <row r="140" spans="1:13" ht="16.149999999999999" customHeight="1" x14ac:dyDescent="0.25">
      <c r="A140" s="87" t="s">
        <v>1559</v>
      </c>
      <c r="D140" s="78">
        <v>1</v>
      </c>
      <c r="E140" s="78">
        <v>129108544</v>
      </c>
      <c r="J140" s="78">
        <v>1</v>
      </c>
      <c r="K140" s="78">
        <v>129108544</v>
      </c>
    </row>
    <row r="141" spans="1:13" ht="16.149999999999999" customHeight="1" x14ac:dyDescent="0.25">
      <c r="A141" s="87" t="s">
        <v>37</v>
      </c>
      <c r="B141" s="78">
        <v>73</v>
      </c>
      <c r="C141" s="78">
        <v>63107616602.400002</v>
      </c>
      <c r="D141" s="78">
        <v>236</v>
      </c>
      <c r="E141" s="78">
        <v>55271744634</v>
      </c>
      <c r="F141" s="78">
        <v>54</v>
      </c>
      <c r="G141" s="78">
        <v>384445347587</v>
      </c>
      <c r="H141" s="78">
        <v>2</v>
      </c>
      <c r="I141" s="78">
        <v>261283715</v>
      </c>
      <c r="J141" s="78">
        <v>365</v>
      </c>
      <c r="K141" s="78">
        <v>503085992538.40002</v>
      </c>
    </row>
    <row r="142" spans="1:13" ht="16.149999999999999" customHeight="1" x14ac:dyDescent="0.25">
      <c r="B142" s="79"/>
      <c r="C142" s="79"/>
      <c r="D142" s="79"/>
      <c r="E142" s="79"/>
      <c r="F142" s="79"/>
      <c r="G142" s="79"/>
      <c r="H142" s="79"/>
      <c r="I142" s="79"/>
      <c r="J142" s="79"/>
      <c r="K142" s="79"/>
    </row>
  </sheetData>
  <mergeCells count="6">
    <mergeCell ref="A124:K124"/>
    <mergeCell ref="A1:I1"/>
    <mergeCell ref="A63:I63"/>
    <mergeCell ref="A22:I22"/>
    <mergeCell ref="A84:I84"/>
    <mergeCell ref="A42:I42"/>
  </mergeCells>
  <pageMargins left="0.7" right="0.7" top="0.75" bottom="0.75" header="0.3" footer="0.3"/>
  <pageSetup orientation="portrait"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opLeftCell="H5" workbookViewId="0">
      <selection activeCell="P6" sqref="P6:S11"/>
    </sheetView>
  </sheetViews>
  <sheetFormatPr baseColWidth="10" defaultRowHeight="15" x14ac:dyDescent="0.25"/>
  <cols>
    <col min="1" max="1" width="21.42578125" customWidth="1"/>
    <col min="2" max="2" width="14.85546875" customWidth="1"/>
    <col min="3" max="3" width="18.28515625" customWidth="1"/>
    <col min="4" max="4" width="19.7109375" style="40" customWidth="1"/>
    <col min="5" max="5" width="7.28515625" customWidth="1"/>
    <col min="6" max="6" width="21.42578125" customWidth="1"/>
    <col min="7" max="7" width="17.42578125" customWidth="1"/>
    <col min="8" max="8" width="18.28515625" bestFit="1" customWidth="1"/>
    <col min="9" max="9" width="19.7109375" style="40" customWidth="1"/>
    <col min="10" max="10" width="9" customWidth="1"/>
    <col min="11" max="11" width="21.42578125" customWidth="1"/>
    <col min="12" max="12" width="17.7109375" customWidth="1"/>
    <col min="13" max="13" width="18.28515625" bestFit="1" customWidth="1"/>
    <col min="14" max="14" width="19.7109375" customWidth="1"/>
    <col min="15" max="15" width="5.7109375" customWidth="1"/>
    <col min="16" max="16" width="18" customWidth="1"/>
    <col min="17" max="17" width="14.85546875" customWidth="1"/>
    <col min="18" max="18" width="18.28515625" bestFit="1" customWidth="1"/>
    <col min="19" max="19" width="19.7109375" customWidth="1"/>
    <col min="20" max="20" width="26.5703125" bestFit="1" customWidth="1"/>
  </cols>
  <sheetData>
    <row r="1" spans="1:19" x14ac:dyDescent="0.25">
      <c r="N1" s="40"/>
      <c r="S1" s="40"/>
    </row>
    <row r="2" spans="1:19" x14ac:dyDescent="0.25">
      <c r="A2" s="38" t="s">
        <v>13</v>
      </c>
      <c r="B2" t="s">
        <v>980</v>
      </c>
      <c r="D2" s="64"/>
      <c r="F2" s="38" t="s">
        <v>13</v>
      </c>
      <c r="G2" t="s">
        <v>40</v>
      </c>
      <c r="K2" s="38" t="s">
        <v>13</v>
      </c>
      <c r="L2" t="s">
        <v>43</v>
      </c>
      <c r="N2" s="40"/>
      <c r="P2" s="38" t="s">
        <v>13</v>
      </c>
      <c r="Q2" t="s">
        <v>230</v>
      </c>
      <c r="S2" s="40"/>
    </row>
    <row r="3" spans="1:19" x14ac:dyDescent="0.25">
      <c r="A3" s="38" t="s">
        <v>19</v>
      </c>
      <c r="B3" t="s">
        <v>169</v>
      </c>
      <c r="F3" s="38" t="s">
        <v>19</v>
      </c>
      <c r="G3" t="s">
        <v>169</v>
      </c>
      <c r="K3" s="38" t="s">
        <v>19</v>
      </c>
      <c r="L3" t="s">
        <v>169</v>
      </c>
      <c r="N3" s="40"/>
      <c r="P3" s="38" t="s">
        <v>19</v>
      </c>
      <c r="Q3" t="s">
        <v>169</v>
      </c>
      <c r="S3" s="40"/>
    </row>
    <row r="4" spans="1:19" x14ac:dyDescent="0.25">
      <c r="N4" s="40"/>
      <c r="S4" s="40"/>
    </row>
    <row r="5" spans="1:19" x14ac:dyDescent="0.25">
      <c r="A5" s="38" t="s">
        <v>36</v>
      </c>
      <c r="B5" t="s">
        <v>38</v>
      </c>
      <c r="C5" t="s">
        <v>982</v>
      </c>
      <c r="D5" t="s">
        <v>985</v>
      </c>
      <c r="F5" s="38" t="s">
        <v>36</v>
      </c>
      <c r="G5" t="s">
        <v>38</v>
      </c>
      <c r="H5" t="s">
        <v>982</v>
      </c>
      <c r="I5" t="s">
        <v>985</v>
      </c>
      <c r="K5" s="38" t="s">
        <v>36</v>
      </c>
      <c r="L5" t="s">
        <v>38</v>
      </c>
      <c r="M5" t="s">
        <v>982</v>
      </c>
      <c r="N5" s="91" t="s">
        <v>985</v>
      </c>
      <c r="P5" s="38" t="s">
        <v>36</v>
      </c>
      <c r="Q5" t="s">
        <v>38</v>
      </c>
      <c r="R5" t="s">
        <v>982</v>
      </c>
      <c r="S5" s="91" t="s">
        <v>985</v>
      </c>
    </row>
    <row r="6" spans="1:19" x14ac:dyDescent="0.25">
      <c r="A6" s="16" t="s">
        <v>256</v>
      </c>
      <c r="B6" s="39">
        <v>4</v>
      </c>
      <c r="C6" s="39">
        <v>145</v>
      </c>
      <c r="D6" s="91">
        <v>5292740</v>
      </c>
      <c r="E6" s="39"/>
      <c r="F6" s="16" t="s">
        <v>151</v>
      </c>
      <c r="G6" s="39">
        <v>1</v>
      </c>
      <c r="H6" s="39">
        <v>85</v>
      </c>
      <c r="I6" s="91">
        <v>0</v>
      </c>
      <c r="J6" s="39"/>
      <c r="K6" s="16" t="s">
        <v>256</v>
      </c>
      <c r="L6" s="39">
        <v>4</v>
      </c>
      <c r="M6" s="39">
        <v>145</v>
      </c>
      <c r="N6" s="91">
        <v>5292740</v>
      </c>
      <c r="P6" s="16" t="s">
        <v>34</v>
      </c>
      <c r="Q6" s="39">
        <v>2</v>
      </c>
      <c r="R6" s="39">
        <v>70</v>
      </c>
      <c r="S6" s="91">
        <v>729822</v>
      </c>
    </row>
    <row r="7" spans="1:19" x14ac:dyDescent="0.25">
      <c r="A7" s="16" t="s">
        <v>277</v>
      </c>
      <c r="B7" s="39">
        <v>10</v>
      </c>
      <c r="C7" s="39">
        <v>251</v>
      </c>
      <c r="D7" s="91">
        <v>11487886</v>
      </c>
      <c r="E7" s="39"/>
      <c r="F7" s="16" t="s">
        <v>364</v>
      </c>
      <c r="G7" s="39">
        <v>1</v>
      </c>
      <c r="H7" s="39">
        <v>138</v>
      </c>
      <c r="I7" s="91">
        <v>5392881</v>
      </c>
      <c r="J7" s="39"/>
      <c r="K7" s="16" t="s">
        <v>277</v>
      </c>
      <c r="L7" s="39">
        <v>10</v>
      </c>
      <c r="M7" s="39">
        <v>251</v>
      </c>
      <c r="N7" s="91">
        <v>11487886</v>
      </c>
      <c r="P7" s="16" t="s">
        <v>35</v>
      </c>
      <c r="Q7" s="39">
        <v>7</v>
      </c>
      <c r="R7" s="39">
        <v>342</v>
      </c>
      <c r="S7" s="91">
        <v>418665295.12631619</v>
      </c>
    </row>
    <row r="8" spans="1:19" x14ac:dyDescent="0.25">
      <c r="A8" s="16" t="s">
        <v>151</v>
      </c>
      <c r="B8" s="39">
        <v>2</v>
      </c>
      <c r="C8" s="39">
        <v>115</v>
      </c>
      <c r="D8" s="91">
        <v>210</v>
      </c>
      <c r="E8" s="39"/>
      <c r="F8" s="16" t="s">
        <v>187</v>
      </c>
      <c r="G8" s="39">
        <v>31</v>
      </c>
      <c r="H8" s="39">
        <v>3284</v>
      </c>
      <c r="I8" s="91">
        <v>873175573</v>
      </c>
      <c r="J8" s="39"/>
      <c r="K8" s="16" t="s">
        <v>151</v>
      </c>
      <c r="L8" s="39">
        <v>1</v>
      </c>
      <c r="M8" s="39">
        <v>30</v>
      </c>
      <c r="N8" s="91">
        <v>210</v>
      </c>
      <c r="P8" s="16" t="s">
        <v>42</v>
      </c>
      <c r="Q8" s="39">
        <v>13</v>
      </c>
      <c r="R8" s="39">
        <v>945</v>
      </c>
      <c r="S8" s="91">
        <v>186773439</v>
      </c>
    </row>
    <row r="9" spans="1:19" x14ac:dyDescent="0.25">
      <c r="A9" s="16" t="s">
        <v>34</v>
      </c>
      <c r="B9" s="39">
        <v>2</v>
      </c>
      <c r="C9" s="39">
        <v>70</v>
      </c>
      <c r="D9" s="91">
        <v>729822</v>
      </c>
      <c r="E9" s="39"/>
      <c r="F9" s="16" t="s">
        <v>161</v>
      </c>
      <c r="G9" s="39">
        <v>3</v>
      </c>
      <c r="H9" s="39">
        <v>262</v>
      </c>
      <c r="I9" s="91">
        <v>379556714</v>
      </c>
      <c r="J9" s="39"/>
      <c r="K9" s="16" t="s">
        <v>364</v>
      </c>
      <c r="L9" s="39">
        <v>4</v>
      </c>
      <c r="M9" s="39">
        <v>96</v>
      </c>
      <c r="N9" s="91">
        <v>2409326</v>
      </c>
      <c r="P9" s="16" t="s">
        <v>452</v>
      </c>
      <c r="Q9" s="39">
        <v>1</v>
      </c>
      <c r="R9" s="39">
        <v>106</v>
      </c>
      <c r="S9" s="91">
        <v>2487576</v>
      </c>
    </row>
    <row r="10" spans="1:19" x14ac:dyDescent="0.25">
      <c r="A10" s="16" t="s">
        <v>364</v>
      </c>
      <c r="B10" s="39">
        <v>5</v>
      </c>
      <c r="C10" s="39">
        <v>234</v>
      </c>
      <c r="D10" s="91">
        <v>7802207</v>
      </c>
      <c r="E10" s="39"/>
      <c r="F10" s="16" t="s">
        <v>503</v>
      </c>
      <c r="G10" s="39">
        <v>1</v>
      </c>
      <c r="H10" s="39">
        <v>100</v>
      </c>
      <c r="I10" s="91">
        <v>9522</v>
      </c>
      <c r="J10" s="39"/>
      <c r="K10" s="16" t="s">
        <v>35</v>
      </c>
      <c r="L10" s="39">
        <v>3</v>
      </c>
      <c r="M10" s="39">
        <v>68</v>
      </c>
      <c r="N10" s="91">
        <v>6344133</v>
      </c>
      <c r="P10" s="16" t="s">
        <v>29</v>
      </c>
      <c r="Q10" s="39">
        <v>29</v>
      </c>
      <c r="R10" s="39">
        <v>1603</v>
      </c>
      <c r="S10" s="91">
        <v>1617692747.6000001</v>
      </c>
    </row>
    <row r="11" spans="1:19" x14ac:dyDescent="0.25">
      <c r="A11" s="16" t="s">
        <v>35</v>
      </c>
      <c r="B11" s="39">
        <v>10</v>
      </c>
      <c r="C11" s="39">
        <v>410</v>
      </c>
      <c r="D11" s="91">
        <v>425009428.12631619</v>
      </c>
      <c r="E11" s="39"/>
      <c r="F11" s="16" t="s">
        <v>337</v>
      </c>
      <c r="G11" s="39">
        <v>4</v>
      </c>
      <c r="H11" s="39">
        <v>400</v>
      </c>
      <c r="I11" s="91">
        <v>136919867</v>
      </c>
      <c r="J11" s="39"/>
      <c r="K11" s="16" t="s">
        <v>187</v>
      </c>
      <c r="L11" s="39">
        <v>7</v>
      </c>
      <c r="M11" s="39">
        <v>113</v>
      </c>
      <c r="N11" s="91">
        <v>6009571</v>
      </c>
      <c r="P11" s="16" t="s">
        <v>37</v>
      </c>
      <c r="Q11" s="39">
        <v>52</v>
      </c>
      <c r="R11" s="39">
        <v>3066</v>
      </c>
      <c r="S11" s="91">
        <v>2226348879.7263165</v>
      </c>
    </row>
    <row r="12" spans="1:19" x14ac:dyDescent="0.25">
      <c r="A12" s="16" t="s">
        <v>42</v>
      </c>
      <c r="B12" s="39">
        <v>14</v>
      </c>
      <c r="C12" s="39">
        <v>973</v>
      </c>
      <c r="D12" s="91">
        <v>187191272</v>
      </c>
      <c r="E12" s="39"/>
      <c r="F12" s="16" t="s">
        <v>452</v>
      </c>
      <c r="G12" s="39">
        <v>1</v>
      </c>
      <c r="H12" s="39">
        <v>92</v>
      </c>
      <c r="I12" s="91">
        <v>81396</v>
      </c>
      <c r="J12" s="39"/>
      <c r="K12" s="16" t="s">
        <v>624</v>
      </c>
      <c r="L12" s="39">
        <v>8</v>
      </c>
      <c r="M12" s="39">
        <v>227</v>
      </c>
      <c r="N12" s="91">
        <v>2033398</v>
      </c>
    </row>
    <row r="13" spans="1:19" x14ac:dyDescent="0.25">
      <c r="A13" s="16" t="s">
        <v>187</v>
      </c>
      <c r="B13" s="39">
        <v>38</v>
      </c>
      <c r="C13" s="39">
        <v>3397</v>
      </c>
      <c r="D13" s="91">
        <v>879185144</v>
      </c>
      <c r="E13" s="39"/>
      <c r="F13" s="16" t="s">
        <v>206</v>
      </c>
      <c r="G13" s="39">
        <v>5</v>
      </c>
      <c r="H13" s="39">
        <v>269</v>
      </c>
      <c r="I13" s="91">
        <v>49665987</v>
      </c>
      <c r="J13" s="39"/>
      <c r="K13" s="16" t="s">
        <v>161</v>
      </c>
      <c r="L13" s="39">
        <v>9</v>
      </c>
      <c r="M13" s="39">
        <v>101</v>
      </c>
      <c r="N13" s="91">
        <v>27855728</v>
      </c>
    </row>
    <row r="14" spans="1:19" x14ac:dyDescent="0.25">
      <c r="A14" s="16" t="s">
        <v>624</v>
      </c>
      <c r="B14" s="39">
        <v>8</v>
      </c>
      <c r="C14" s="39">
        <v>227</v>
      </c>
      <c r="D14" s="91">
        <v>2033398</v>
      </c>
      <c r="E14" s="39"/>
      <c r="F14" s="16" t="s">
        <v>312</v>
      </c>
      <c r="G14" s="39">
        <v>3</v>
      </c>
      <c r="H14" s="39">
        <v>350</v>
      </c>
      <c r="I14" s="91">
        <v>14347917</v>
      </c>
      <c r="K14" s="16" t="s">
        <v>921</v>
      </c>
      <c r="L14" s="39">
        <v>2</v>
      </c>
      <c r="M14" s="39">
        <v>23</v>
      </c>
      <c r="N14" s="91">
        <v>88</v>
      </c>
    </row>
    <row r="15" spans="1:19" x14ac:dyDescent="0.25">
      <c r="A15" s="16" t="s">
        <v>161</v>
      </c>
      <c r="B15" s="39">
        <v>12</v>
      </c>
      <c r="C15" s="39">
        <v>363</v>
      </c>
      <c r="D15" s="91">
        <v>407412442</v>
      </c>
      <c r="E15" s="39"/>
      <c r="F15" s="16" t="s">
        <v>572</v>
      </c>
      <c r="G15" s="39">
        <v>1</v>
      </c>
      <c r="H15" s="39">
        <v>115</v>
      </c>
      <c r="I15" s="91">
        <v>6042937</v>
      </c>
      <c r="K15" s="16" t="s">
        <v>503</v>
      </c>
      <c r="L15" s="39">
        <v>6</v>
      </c>
      <c r="M15" s="39">
        <v>127</v>
      </c>
      <c r="N15" s="91">
        <v>44726152</v>
      </c>
    </row>
    <row r="16" spans="1:19" x14ac:dyDescent="0.25">
      <c r="A16" s="16" t="s">
        <v>921</v>
      </c>
      <c r="B16" s="39">
        <v>2</v>
      </c>
      <c r="C16" s="39">
        <v>23</v>
      </c>
      <c r="D16" s="91">
        <v>88</v>
      </c>
      <c r="E16" s="39"/>
      <c r="F16" s="16" t="s">
        <v>37</v>
      </c>
      <c r="G16" s="39">
        <v>51</v>
      </c>
      <c r="H16" s="39">
        <v>5095</v>
      </c>
      <c r="I16" s="91">
        <v>1465192794</v>
      </c>
      <c r="K16" s="16" t="s">
        <v>777</v>
      </c>
      <c r="L16" s="39">
        <v>1</v>
      </c>
      <c r="M16" s="39">
        <v>13</v>
      </c>
      <c r="N16" s="91">
        <v>500</v>
      </c>
    </row>
    <row r="17" spans="1:14" x14ac:dyDescent="0.25">
      <c r="A17" s="16" t="s">
        <v>503</v>
      </c>
      <c r="B17" s="39">
        <v>7</v>
      </c>
      <c r="C17" s="39">
        <v>227</v>
      </c>
      <c r="D17" s="91">
        <v>44735674</v>
      </c>
      <c r="E17" s="39"/>
      <c r="I17"/>
      <c r="K17" s="16" t="s">
        <v>337</v>
      </c>
      <c r="L17" s="39">
        <v>5</v>
      </c>
      <c r="M17" s="39">
        <v>103</v>
      </c>
      <c r="N17" s="91">
        <v>0</v>
      </c>
    </row>
    <row r="18" spans="1:14" x14ac:dyDescent="0.25">
      <c r="A18" s="16" t="s">
        <v>777</v>
      </c>
      <c r="B18" s="39">
        <v>1</v>
      </c>
      <c r="C18" s="39">
        <v>13</v>
      </c>
      <c r="D18" s="91">
        <v>500</v>
      </c>
      <c r="E18" s="39"/>
      <c r="I18"/>
      <c r="K18" s="16" t="s">
        <v>452</v>
      </c>
      <c r="L18" s="39">
        <v>7</v>
      </c>
      <c r="M18" s="39">
        <v>228</v>
      </c>
      <c r="N18" s="91">
        <v>2016858</v>
      </c>
    </row>
    <row r="19" spans="1:14" x14ac:dyDescent="0.25">
      <c r="A19" s="16" t="s">
        <v>337</v>
      </c>
      <c r="B19" s="39">
        <v>9</v>
      </c>
      <c r="C19" s="39">
        <v>503</v>
      </c>
      <c r="D19" s="91">
        <v>136919867</v>
      </c>
      <c r="E19" s="39"/>
      <c r="I19"/>
      <c r="K19" s="16" t="s">
        <v>401</v>
      </c>
      <c r="L19" s="39">
        <v>5</v>
      </c>
      <c r="M19" s="39">
        <v>105</v>
      </c>
      <c r="N19" s="91">
        <v>40384236</v>
      </c>
    </row>
    <row r="20" spans="1:14" x14ac:dyDescent="0.25">
      <c r="A20" s="16" t="s">
        <v>452</v>
      </c>
      <c r="B20" s="39">
        <v>9</v>
      </c>
      <c r="C20" s="39">
        <v>426</v>
      </c>
      <c r="D20" s="91">
        <v>4585830</v>
      </c>
      <c r="E20" s="39"/>
      <c r="I20"/>
      <c r="K20" s="16" t="s">
        <v>206</v>
      </c>
      <c r="L20" s="39">
        <v>9</v>
      </c>
      <c r="M20" s="39">
        <v>110</v>
      </c>
      <c r="N20" s="91">
        <v>32283746</v>
      </c>
    </row>
    <row r="21" spans="1:14" x14ac:dyDescent="0.25">
      <c r="A21" s="16" t="s">
        <v>29</v>
      </c>
      <c r="B21" s="39">
        <v>29</v>
      </c>
      <c r="C21" s="39">
        <v>1603</v>
      </c>
      <c r="D21" s="91">
        <v>1617692747.6000001</v>
      </c>
      <c r="E21" s="39"/>
      <c r="I21"/>
      <c r="K21" s="16" t="s">
        <v>312</v>
      </c>
      <c r="L21" s="39">
        <v>15</v>
      </c>
      <c r="M21" s="39">
        <v>371</v>
      </c>
      <c r="N21" s="91">
        <v>126104834</v>
      </c>
    </row>
    <row r="22" spans="1:14" x14ac:dyDescent="0.25">
      <c r="A22" s="16" t="s">
        <v>401</v>
      </c>
      <c r="B22" s="39">
        <v>5</v>
      </c>
      <c r="C22" s="39">
        <v>105</v>
      </c>
      <c r="D22" s="91">
        <v>40384236</v>
      </c>
      <c r="E22" s="39"/>
      <c r="I22"/>
      <c r="K22" s="16" t="s">
        <v>551</v>
      </c>
      <c r="L22" s="39">
        <v>2</v>
      </c>
      <c r="M22" s="39">
        <v>36</v>
      </c>
      <c r="N22" s="91">
        <v>0</v>
      </c>
    </row>
    <row r="23" spans="1:14" x14ac:dyDescent="0.25">
      <c r="A23" s="16" t="s">
        <v>206</v>
      </c>
      <c r="B23" s="39">
        <v>14</v>
      </c>
      <c r="C23" s="39">
        <v>379</v>
      </c>
      <c r="D23" s="91">
        <v>81949733</v>
      </c>
      <c r="E23" s="39"/>
      <c r="I23"/>
      <c r="K23" s="16" t="s">
        <v>213</v>
      </c>
      <c r="L23" s="39">
        <v>10</v>
      </c>
      <c r="M23" s="39">
        <v>122</v>
      </c>
      <c r="N23" s="91">
        <v>11752418</v>
      </c>
    </row>
    <row r="24" spans="1:14" x14ac:dyDescent="0.25">
      <c r="A24" s="16" t="s">
        <v>312</v>
      </c>
      <c r="B24" s="39">
        <v>18</v>
      </c>
      <c r="C24" s="39">
        <v>721</v>
      </c>
      <c r="D24" s="91">
        <v>140452751</v>
      </c>
      <c r="E24" s="39"/>
      <c r="K24" s="16" t="s">
        <v>572</v>
      </c>
      <c r="L24" s="39">
        <v>8</v>
      </c>
      <c r="M24" s="39">
        <v>170</v>
      </c>
      <c r="N24" s="91">
        <v>0</v>
      </c>
    </row>
    <row r="25" spans="1:14" x14ac:dyDescent="0.25">
      <c r="A25" s="16" t="s">
        <v>551</v>
      </c>
      <c r="B25" s="39">
        <v>2</v>
      </c>
      <c r="C25" s="39">
        <v>36</v>
      </c>
      <c r="D25" s="91">
        <v>0</v>
      </c>
      <c r="E25" s="39"/>
      <c r="K25" s="16" t="s">
        <v>1357</v>
      </c>
      <c r="L25" s="39">
        <v>1</v>
      </c>
      <c r="M25" s="39">
        <v>45</v>
      </c>
      <c r="N25" s="91">
        <v>0</v>
      </c>
    </row>
    <row r="26" spans="1:14" x14ac:dyDescent="0.25">
      <c r="A26" s="16" t="s">
        <v>213</v>
      </c>
      <c r="B26" s="39">
        <v>10</v>
      </c>
      <c r="C26" s="39">
        <v>122</v>
      </c>
      <c r="D26" s="91">
        <v>11752418</v>
      </c>
      <c r="E26" s="39"/>
      <c r="K26" s="16" t="s">
        <v>1904</v>
      </c>
      <c r="L26" s="39">
        <v>1</v>
      </c>
      <c r="M26" s="39">
        <v>41</v>
      </c>
      <c r="N26" s="91">
        <v>2693365</v>
      </c>
    </row>
    <row r="27" spans="1:14" x14ac:dyDescent="0.25">
      <c r="A27" s="16" t="s">
        <v>572</v>
      </c>
      <c r="B27" s="39">
        <v>9</v>
      </c>
      <c r="C27" s="39">
        <v>285</v>
      </c>
      <c r="D27" s="91">
        <v>6042937</v>
      </c>
      <c r="E27" s="39"/>
      <c r="K27" s="16" t="s">
        <v>2484</v>
      </c>
      <c r="L27" s="39">
        <v>1</v>
      </c>
      <c r="M27" s="39">
        <v>55</v>
      </c>
      <c r="N27" s="91">
        <v>0</v>
      </c>
    </row>
    <row r="28" spans="1:14" x14ac:dyDescent="0.25">
      <c r="A28" s="16" t="s">
        <v>1357</v>
      </c>
      <c r="B28" s="39">
        <v>1</v>
      </c>
      <c r="C28" s="39">
        <v>45</v>
      </c>
      <c r="D28" s="91">
        <v>0</v>
      </c>
      <c r="K28" s="16" t="s">
        <v>37</v>
      </c>
      <c r="L28" s="39">
        <v>119</v>
      </c>
      <c r="M28" s="39">
        <v>2580</v>
      </c>
      <c r="N28" s="91">
        <v>321395189</v>
      </c>
    </row>
    <row r="29" spans="1:14" x14ac:dyDescent="0.25">
      <c r="A29" s="16" t="s">
        <v>1904</v>
      </c>
      <c r="B29" s="39">
        <v>1</v>
      </c>
      <c r="C29" s="39">
        <v>41</v>
      </c>
      <c r="D29" s="91">
        <v>2693365</v>
      </c>
    </row>
    <row r="30" spans="1:14" x14ac:dyDescent="0.25">
      <c r="A30" s="16" t="s">
        <v>2484</v>
      </c>
      <c r="B30" s="39">
        <v>1</v>
      </c>
      <c r="C30" s="39">
        <v>55</v>
      </c>
      <c r="D30" s="91">
        <v>0</v>
      </c>
    </row>
    <row r="31" spans="1:14" x14ac:dyDescent="0.25">
      <c r="A31" s="16" t="s">
        <v>37</v>
      </c>
      <c r="B31" s="39">
        <v>223</v>
      </c>
      <c r="C31" s="39">
        <v>10769</v>
      </c>
      <c r="D31" s="91">
        <v>4013354695.7263165</v>
      </c>
    </row>
    <row r="32" spans="1:14" x14ac:dyDescent="0.25">
      <c r="D32"/>
    </row>
    <row r="33" spans="4:4" x14ac:dyDescent="0.25">
      <c r="D33"/>
    </row>
    <row r="34" spans="4:4" x14ac:dyDescent="0.25">
      <c r="D34"/>
    </row>
    <row r="35" spans="4:4" x14ac:dyDescent="0.25">
      <c r="D35"/>
    </row>
    <row r="36" spans="4:4" x14ac:dyDescent="0.25">
      <c r="D36"/>
    </row>
    <row r="37" spans="4:4" x14ac:dyDescent="0.25">
      <c r="D37"/>
    </row>
    <row r="38" spans="4:4" x14ac:dyDescent="0.25">
      <c r="D38"/>
    </row>
    <row r="39" spans="4:4" x14ac:dyDescent="0.25">
      <c r="D39"/>
    </row>
  </sheetData>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110" zoomScaleNormal="110" workbookViewId="0">
      <selection activeCell="K17" sqref="K17"/>
    </sheetView>
  </sheetViews>
  <sheetFormatPr baseColWidth="10" defaultColWidth="11.5703125" defaultRowHeight="19.899999999999999" customHeight="1" x14ac:dyDescent="0.25"/>
  <cols>
    <col min="1" max="1" width="18.7109375" style="7" customWidth="1"/>
    <col min="2" max="2" width="17.7109375" style="7" customWidth="1"/>
    <col min="3" max="4" width="11.7109375" style="7" customWidth="1"/>
    <col min="5" max="5" width="1.5703125" style="7" customWidth="1"/>
    <col min="6" max="6" width="18.7109375" style="7" customWidth="1"/>
    <col min="7" max="7" width="17.7109375" style="7" customWidth="1"/>
    <col min="8" max="9" width="11.7109375" style="7" customWidth="1"/>
    <col min="10" max="10" width="3" style="7" customWidth="1"/>
    <col min="11" max="11" width="18.7109375" style="7" customWidth="1"/>
    <col min="12" max="12" width="17.7109375" style="7" customWidth="1"/>
    <col min="13" max="14" width="11.7109375" style="7" customWidth="1"/>
    <col min="15" max="16384" width="11.5703125" style="7"/>
  </cols>
  <sheetData>
    <row r="1" spans="1:14" ht="19.899999999999999" customHeight="1" x14ac:dyDescent="0.25">
      <c r="A1" s="512" t="s">
        <v>135</v>
      </c>
      <c r="B1" s="512"/>
      <c r="C1" s="512"/>
      <c r="D1" s="512"/>
      <c r="F1" s="512" t="s">
        <v>137</v>
      </c>
      <c r="G1" s="512"/>
      <c r="H1" s="512"/>
      <c r="I1" s="512"/>
      <c r="K1" s="512" t="s">
        <v>136</v>
      </c>
      <c r="L1" s="512"/>
      <c r="M1" s="512"/>
      <c r="N1" s="512"/>
    </row>
    <row r="2" spans="1:14" ht="19.899999999999999" customHeight="1" x14ac:dyDescent="0.25">
      <c r="A2" s="6" t="s">
        <v>13</v>
      </c>
      <c r="B2" s="7" t="s">
        <v>40</v>
      </c>
      <c r="F2" s="6" t="s">
        <v>13</v>
      </c>
      <c r="G2" s="7" t="s">
        <v>40</v>
      </c>
      <c r="K2" s="6" t="s">
        <v>13</v>
      </c>
      <c r="L2" s="7" t="s">
        <v>40</v>
      </c>
    </row>
    <row r="3" spans="1:14" ht="19.899999999999999" customHeight="1" x14ac:dyDescent="0.25">
      <c r="A3" s="6" t="s">
        <v>19</v>
      </c>
      <c r="B3" s="7" t="s">
        <v>169</v>
      </c>
      <c r="F3" s="6" t="s">
        <v>19</v>
      </c>
      <c r="G3" s="7" t="s">
        <v>169</v>
      </c>
      <c r="K3" s="6" t="s">
        <v>19</v>
      </c>
      <c r="L3" s="7" t="s">
        <v>169</v>
      </c>
    </row>
    <row r="4" spans="1:14" ht="19.899999999999999" customHeight="1" x14ac:dyDescent="0.25">
      <c r="A4" s="6" t="s">
        <v>98</v>
      </c>
      <c r="B4" s="7" t="s">
        <v>980</v>
      </c>
      <c r="F4" s="6" t="s">
        <v>98</v>
      </c>
      <c r="G4" s="8">
        <v>1</v>
      </c>
      <c r="K4" s="6" t="s">
        <v>98</v>
      </c>
      <c r="L4" s="8">
        <v>0</v>
      </c>
    </row>
    <row r="6" spans="1:14" s="11" customFormat="1" ht="46.9" customHeight="1" x14ac:dyDescent="0.25">
      <c r="A6" s="75" t="s">
        <v>36</v>
      </c>
      <c r="B6" s="11" t="s">
        <v>38</v>
      </c>
      <c r="C6" s="11" t="s">
        <v>983</v>
      </c>
      <c r="D6" s="11" t="s">
        <v>984</v>
      </c>
      <c r="F6" s="75" t="s">
        <v>36</v>
      </c>
      <c r="G6" s="11" t="s">
        <v>38</v>
      </c>
      <c r="H6" s="11" t="s">
        <v>982</v>
      </c>
      <c r="I6" s="11" t="s">
        <v>984</v>
      </c>
      <c r="K6" s="75" t="s">
        <v>36</v>
      </c>
      <c r="L6" s="11" t="s">
        <v>38</v>
      </c>
      <c r="M6" s="11" t="s">
        <v>982</v>
      </c>
      <c r="N6" s="11" t="s">
        <v>984</v>
      </c>
    </row>
    <row r="7" spans="1:14" ht="19.899999999999999" customHeight="1" x14ac:dyDescent="0.25">
      <c r="A7" s="8" t="s">
        <v>4431</v>
      </c>
      <c r="B7" s="9">
        <v>1</v>
      </c>
      <c r="C7" s="9">
        <v>97</v>
      </c>
      <c r="D7" s="10">
        <v>97</v>
      </c>
      <c r="E7" s="10"/>
      <c r="F7" s="8" t="s">
        <v>4431</v>
      </c>
      <c r="G7" s="9">
        <v>1</v>
      </c>
      <c r="H7" s="9">
        <v>97</v>
      </c>
      <c r="I7" s="10">
        <v>97</v>
      </c>
      <c r="J7" s="10"/>
      <c r="K7" s="8" t="s">
        <v>4435</v>
      </c>
      <c r="L7" s="9">
        <v>5</v>
      </c>
      <c r="M7" s="9">
        <v>269</v>
      </c>
      <c r="N7" s="10">
        <v>53.8</v>
      </c>
    </row>
    <row r="8" spans="1:14" ht="19.899999999999999" customHeight="1" x14ac:dyDescent="0.25">
      <c r="A8" s="8" t="s">
        <v>4434</v>
      </c>
      <c r="B8" s="9">
        <v>4</v>
      </c>
      <c r="C8" s="9">
        <v>366</v>
      </c>
      <c r="D8" s="10">
        <v>91.5</v>
      </c>
      <c r="E8" s="10"/>
      <c r="F8" s="8" t="s">
        <v>4434</v>
      </c>
      <c r="G8" s="9">
        <v>4</v>
      </c>
      <c r="H8" s="9">
        <v>366</v>
      </c>
      <c r="I8" s="10">
        <v>91.5</v>
      </c>
      <c r="J8" s="10"/>
      <c r="K8" s="8" t="s">
        <v>4436</v>
      </c>
      <c r="L8" s="9">
        <v>1</v>
      </c>
      <c r="M8" s="9">
        <v>99</v>
      </c>
      <c r="N8" s="10">
        <v>99</v>
      </c>
    </row>
    <row r="9" spans="1:14" ht="19.899999999999999" customHeight="1" x14ac:dyDescent="0.25">
      <c r="A9" s="8" t="s">
        <v>4435</v>
      </c>
      <c r="B9" s="9">
        <v>7</v>
      </c>
      <c r="C9" s="9">
        <v>433</v>
      </c>
      <c r="D9" s="10">
        <v>61.857142857142854</v>
      </c>
      <c r="E9" s="10"/>
      <c r="F9" s="8" t="s">
        <v>4435</v>
      </c>
      <c r="G9" s="9">
        <v>2</v>
      </c>
      <c r="H9" s="9">
        <v>164</v>
      </c>
      <c r="I9" s="10">
        <v>82</v>
      </c>
      <c r="J9" s="10"/>
      <c r="K9" s="8" t="s">
        <v>4437</v>
      </c>
      <c r="L9" s="9">
        <v>1</v>
      </c>
      <c r="M9" s="9">
        <v>95</v>
      </c>
      <c r="N9" s="10">
        <v>95</v>
      </c>
    </row>
    <row r="10" spans="1:14" ht="19.899999999999999" customHeight="1" x14ac:dyDescent="0.25">
      <c r="A10" s="8" t="s">
        <v>4436</v>
      </c>
      <c r="B10" s="9">
        <v>5</v>
      </c>
      <c r="C10" s="9">
        <v>497</v>
      </c>
      <c r="D10" s="10">
        <v>99.4</v>
      </c>
      <c r="E10" s="10"/>
      <c r="F10" s="8" t="s">
        <v>4436</v>
      </c>
      <c r="G10" s="9">
        <v>4</v>
      </c>
      <c r="H10" s="9">
        <v>398</v>
      </c>
      <c r="I10" s="10">
        <v>99.5</v>
      </c>
      <c r="J10" s="10"/>
      <c r="K10" s="8" t="s">
        <v>4438</v>
      </c>
      <c r="L10" s="9">
        <v>4</v>
      </c>
      <c r="M10" s="9">
        <v>372</v>
      </c>
      <c r="N10" s="10">
        <v>93</v>
      </c>
    </row>
    <row r="11" spans="1:14" ht="19.899999999999999" customHeight="1" x14ac:dyDescent="0.25">
      <c r="A11" s="8" t="s">
        <v>4437</v>
      </c>
      <c r="B11" s="9">
        <v>10</v>
      </c>
      <c r="C11" s="9">
        <v>942</v>
      </c>
      <c r="D11" s="10">
        <v>94.2</v>
      </c>
      <c r="E11" s="10"/>
      <c r="F11" s="8" t="s">
        <v>4437</v>
      </c>
      <c r="G11" s="9">
        <v>9</v>
      </c>
      <c r="H11" s="9">
        <v>847</v>
      </c>
      <c r="I11" s="10">
        <v>94.111111111111114</v>
      </c>
      <c r="J11" s="10"/>
      <c r="K11" s="8" t="s">
        <v>4262</v>
      </c>
      <c r="L11" s="9">
        <v>2</v>
      </c>
      <c r="M11" s="9">
        <v>244</v>
      </c>
      <c r="N11" s="10">
        <v>122</v>
      </c>
    </row>
    <row r="12" spans="1:14" ht="19.899999999999999" customHeight="1" x14ac:dyDescent="0.25">
      <c r="A12" s="8" t="s">
        <v>4438</v>
      </c>
      <c r="B12" s="9">
        <v>15</v>
      </c>
      <c r="C12" s="9">
        <v>1662</v>
      </c>
      <c r="D12" s="10">
        <v>110.8</v>
      </c>
      <c r="F12" s="8" t="s">
        <v>4438</v>
      </c>
      <c r="G12" s="9">
        <v>11</v>
      </c>
      <c r="H12" s="9">
        <v>1290</v>
      </c>
      <c r="I12" s="10">
        <v>117.27272727272727</v>
      </c>
      <c r="K12" s="8" t="s">
        <v>4264</v>
      </c>
      <c r="L12" s="9">
        <v>1</v>
      </c>
      <c r="M12" s="9">
        <v>152</v>
      </c>
      <c r="N12" s="10">
        <v>152</v>
      </c>
    </row>
    <row r="13" spans="1:14" ht="19.899999999999999" customHeight="1" x14ac:dyDescent="0.25">
      <c r="A13" s="8" t="s">
        <v>4262</v>
      </c>
      <c r="B13" s="9">
        <v>11</v>
      </c>
      <c r="C13" s="9">
        <v>1227</v>
      </c>
      <c r="D13" s="10">
        <v>111.54545454545455</v>
      </c>
      <c r="F13" s="8" t="s">
        <v>4262</v>
      </c>
      <c r="G13" s="9">
        <v>9</v>
      </c>
      <c r="H13" s="9">
        <v>983</v>
      </c>
      <c r="I13" s="10">
        <v>109.22222222222223</v>
      </c>
      <c r="K13" s="8" t="s">
        <v>37</v>
      </c>
      <c r="L13" s="9">
        <v>14</v>
      </c>
      <c r="M13" s="9">
        <v>1231</v>
      </c>
      <c r="N13" s="10">
        <v>87.928571428571431</v>
      </c>
    </row>
    <row r="14" spans="1:14" ht="19.899999999999999" customHeight="1" x14ac:dyDescent="0.25">
      <c r="A14" s="8" t="s">
        <v>4264</v>
      </c>
      <c r="B14" s="9">
        <v>1</v>
      </c>
      <c r="C14" s="9">
        <v>152</v>
      </c>
      <c r="D14" s="10">
        <v>152</v>
      </c>
      <c r="F14" s="8" t="s">
        <v>37</v>
      </c>
      <c r="G14" s="9">
        <v>40</v>
      </c>
      <c r="H14" s="9">
        <v>4145</v>
      </c>
      <c r="I14" s="10">
        <v>103.625</v>
      </c>
    </row>
    <row r="15" spans="1:14" ht="19.899999999999999" customHeight="1" x14ac:dyDescent="0.25">
      <c r="A15" s="8" t="s">
        <v>37</v>
      </c>
      <c r="B15" s="9">
        <v>54</v>
      </c>
      <c r="C15" s="9">
        <v>5376</v>
      </c>
      <c r="D15" s="10">
        <v>99.555555555555557</v>
      </c>
      <c r="N15" s="48"/>
    </row>
    <row r="16" spans="1:14" ht="19.899999999999999" customHeight="1" x14ac:dyDescent="0.25">
      <c r="N16" s="48"/>
    </row>
    <row r="17" spans="4:14" ht="19.899999999999999" customHeight="1" x14ac:dyDescent="0.25">
      <c r="F17" s="8" t="s">
        <v>4440</v>
      </c>
      <c r="G17" s="74">
        <f>+GETPIVOTDATA("Cuenta de Ítem",$F$6,"Mes fin","Jan")</f>
        <v>1</v>
      </c>
      <c r="H17" s="74">
        <f>+GETPIVOTDATA("Suma de No. 
de días",$F$6,"Mes fin","Jan")</f>
        <v>97</v>
      </c>
      <c r="I17" s="12">
        <f>+H17/G17</f>
        <v>97</v>
      </c>
      <c r="N17" s="48"/>
    </row>
    <row r="18" spans="4:14" ht="19.899999999999999" customHeight="1" x14ac:dyDescent="0.25">
      <c r="F18" s="8" t="s">
        <v>4441</v>
      </c>
      <c r="G18" s="9">
        <f>SUM(G8:G10)</f>
        <v>10</v>
      </c>
      <c r="H18" s="9">
        <f>SUM(H8:H10)</f>
        <v>928</v>
      </c>
      <c r="I18" s="12">
        <f>+H18/G18</f>
        <v>92.8</v>
      </c>
      <c r="N18" s="48"/>
    </row>
    <row r="19" spans="4:14" ht="19.899999999999999" customHeight="1" x14ac:dyDescent="0.25">
      <c r="F19" s="8" t="s">
        <v>4442</v>
      </c>
      <c r="G19" s="9">
        <f>SUM(G11:G13)</f>
        <v>29</v>
      </c>
      <c r="H19" s="9">
        <f>SUM(H11:H13)</f>
        <v>3120</v>
      </c>
      <c r="I19" s="12">
        <f>+H19/G19</f>
        <v>107.58620689655173</v>
      </c>
      <c r="N19" s="48"/>
    </row>
    <row r="20" spans="4:14" ht="19.899999999999999" customHeight="1" x14ac:dyDescent="0.25">
      <c r="F20" s="8" t="s">
        <v>4443</v>
      </c>
      <c r="G20" s="9">
        <v>0</v>
      </c>
      <c r="H20" s="9">
        <v>0</v>
      </c>
      <c r="I20" s="12">
        <v>0</v>
      </c>
      <c r="N20" s="48"/>
    </row>
    <row r="21" spans="4:14" ht="19.899999999999999" customHeight="1" x14ac:dyDescent="0.25">
      <c r="F21" s="364" t="s">
        <v>49</v>
      </c>
      <c r="G21" s="365">
        <f>SUM(G17:G20)</f>
        <v>40</v>
      </c>
      <c r="H21" s="365">
        <f>SUM(H17:H20)</f>
        <v>4145</v>
      </c>
      <c r="I21" s="366">
        <f>+H21/G21</f>
        <v>103.625</v>
      </c>
      <c r="N21" s="48"/>
    </row>
    <row r="22" spans="4:14" ht="19.899999999999999" customHeight="1" x14ac:dyDescent="0.25">
      <c r="F22" s="8"/>
      <c r="G22" s="9"/>
      <c r="H22" s="9"/>
      <c r="I22" s="12"/>
      <c r="N22" s="48"/>
    </row>
    <row r="23" spans="4:14" ht="19.899999999999999" customHeight="1" x14ac:dyDescent="0.25">
      <c r="D23" s="10">
        <v>136.18</v>
      </c>
      <c r="I23" s="10">
        <v>136.44</v>
      </c>
      <c r="N23" s="48">
        <v>135</v>
      </c>
    </row>
    <row r="24" spans="4:14" ht="32.450000000000003" customHeight="1" x14ac:dyDescent="0.25">
      <c r="N24" s="48"/>
    </row>
  </sheetData>
  <mergeCells count="3">
    <mergeCell ref="A1:D1"/>
    <mergeCell ref="F1:I1"/>
    <mergeCell ref="K1:N1"/>
  </mergeCell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zoomScale="110" zoomScaleNormal="110" workbookViewId="0">
      <selection activeCell="A12" sqref="A12"/>
    </sheetView>
  </sheetViews>
  <sheetFormatPr baseColWidth="10" defaultColWidth="11.5703125" defaultRowHeight="19.899999999999999" customHeight="1" x14ac:dyDescent="0.25"/>
  <cols>
    <col min="1" max="1" width="18.7109375" style="7" customWidth="1"/>
    <col min="2" max="2" width="18" style="7" customWidth="1"/>
    <col min="3" max="4" width="11.7109375" style="7" customWidth="1"/>
    <col min="5" max="5" width="1.5703125" style="7" customWidth="1"/>
    <col min="6" max="6" width="18.7109375" style="7" customWidth="1"/>
    <col min="7" max="7" width="18" style="7" customWidth="1"/>
    <col min="8" max="9" width="11.7109375" style="7" customWidth="1"/>
    <col min="10" max="10" width="1.7109375" style="7" customWidth="1"/>
    <col min="11" max="11" width="18.7109375" style="7" customWidth="1"/>
    <col min="12" max="12" width="18" style="7" customWidth="1"/>
    <col min="13" max="14" width="11.7109375" style="7" customWidth="1"/>
    <col min="15" max="15" width="11.5703125" style="7"/>
    <col min="16" max="16384" width="11.5703125" style="55"/>
  </cols>
  <sheetData>
    <row r="1" spans="1:15" ht="19.899999999999999" customHeight="1" x14ac:dyDescent="0.25">
      <c r="A1" s="512" t="s">
        <v>133</v>
      </c>
      <c r="B1" s="512"/>
      <c r="C1" s="512"/>
      <c r="D1" s="512"/>
      <c r="F1" s="512" t="s">
        <v>134</v>
      </c>
      <c r="G1" s="512"/>
      <c r="H1" s="512"/>
      <c r="I1" s="512"/>
      <c r="K1" s="512" t="s">
        <v>1298</v>
      </c>
      <c r="L1" s="512"/>
      <c r="M1" s="512"/>
      <c r="N1" s="512"/>
    </row>
    <row r="2" spans="1:15" ht="19.899999999999999" customHeight="1" x14ac:dyDescent="0.25">
      <c r="A2" s="6" t="s">
        <v>13</v>
      </c>
      <c r="B2" s="7" t="s">
        <v>43</v>
      </c>
      <c r="F2" s="6" t="s">
        <v>13</v>
      </c>
      <c r="G2" s="7" t="s">
        <v>43</v>
      </c>
      <c r="K2" s="6" t="s">
        <v>13</v>
      </c>
      <c r="L2" s="7" t="s">
        <v>43</v>
      </c>
    </row>
    <row r="3" spans="1:15" ht="19.899999999999999" customHeight="1" x14ac:dyDescent="0.25">
      <c r="A3" s="6" t="s">
        <v>19</v>
      </c>
      <c r="B3" s="7" t="s">
        <v>169</v>
      </c>
      <c r="F3" s="6" t="s">
        <v>19</v>
      </c>
      <c r="G3" s="7" t="s">
        <v>169</v>
      </c>
      <c r="K3" s="6" t="s">
        <v>19</v>
      </c>
      <c r="L3" s="7" t="s">
        <v>169</v>
      </c>
    </row>
    <row r="4" spans="1:15" ht="19.899999999999999" customHeight="1" x14ac:dyDescent="0.25">
      <c r="A4" s="6" t="s">
        <v>98</v>
      </c>
      <c r="B4" s="7" t="s">
        <v>980</v>
      </c>
      <c r="F4" s="6" t="s">
        <v>98</v>
      </c>
      <c r="G4" s="8">
        <v>1</v>
      </c>
      <c r="K4" s="6" t="s">
        <v>98</v>
      </c>
      <c r="L4" s="8">
        <v>0</v>
      </c>
    </row>
    <row r="6" spans="1:15" s="66" customFormat="1" ht="34.15" customHeight="1" x14ac:dyDescent="0.25">
      <c r="A6" s="75" t="s">
        <v>36</v>
      </c>
      <c r="B6" s="11" t="s">
        <v>38</v>
      </c>
      <c r="C6" s="11" t="s">
        <v>982</v>
      </c>
      <c r="D6" s="11" t="s">
        <v>984</v>
      </c>
      <c r="E6" s="11"/>
      <c r="F6" s="75" t="s">
        <v>36</v>
      </c>
      <c r="G6" s="11" t="s">
        <v>38</v>
      </c>
      <c r="H6" s="11" t="s">
        <v>982</v>
      </c>
      <c r="I6" s="11" t="s">
        <v>984</v>
      </c>
      <c r="J6" s="11"/>
      <c r="K6" s="75" t="s">
        <v>36</v>
      </c>
      <c r="L6" s="11" t="s">
        <v>38</v>
      </c>
      <c r="M6" s="11" t="s">
        <v>982</v>
      </c>
      <c r="N6" s="11" t="s">
        <v>984</v>
      </c>
      <c r="O6" s="11"/>
    </row>
    <row r="7" spans="1:15" ht="19.899999999999999" customHeight="1" x14ac:dyDescent="0.25">
      <c r="A7" s="8" t="s">
        <v>4431</v>
      </c>
      <c r="B7" s="9">
        <v>82</v>
      </c>
      <c r="C7" s="9">
        <v>1342</v>
      </c>
      <c r="D7" s="10">
        <v>16.365853658536587</v>
      </c>
      <c r="E7" s="12"/>
      <c r="F7" s="8" t="s">
        <v>4431</v>
      </c>
      <c r="G7" s="9">
        <v>54</v>
      </c>
      <c r="H7" s="9">
        <v>878</v>
      </c>
      <c r="I7" s="89">
        <v>16.25925925925926</v>
      </c>
      <c r="J7" s="12"/>
      <c r="K7" s="8" t="s">
        <v>4431</v>
      </c>
      <c r="L7" s="9">
        <v>28</v>
      </c>
      <c r="M7" s="9">
        <v>464</v>
      </c>
      <c r="N7" s="89">
        <v>16.571428571428573</v>
      </c>
    </row>
    <row r="8" spans="1:15" ht="19.899999999999999" customHeight="1" x14ac:dyDescent="0.25">
      <c r="A8" s="8" t="s">
        <v>4437</v>
      </c>
      <c r="B8" s="9">
        <v>11</v>
      </c>
      <c r="C8" s="9">
        <v>242</v>
      </c>
      <c r="D8" s="10">
        <v>22</v>
      </c>
      <c r="E8" s="12"/>
      <c r="F8" s="8" t="s">
        <v>4437</v>
      </c>
      <c r="G8" s="9">
        <v>10</v>
      </c>
      <c r="H8" s="9">
        <v>214</v>
      </c>
      <c r="I8" s="89">
        <v>21.4</v>
      </c>
      <c r="J8" s="12"/>
      <c r="K8" s="8" t="s">
        <v>4437</v>
      </c>
      <c r="L8" s="9">
        <v>1</v>
      </c>
      <c r="M8" s="9">
        <v>28</v>
      </c>
      <c r="N8" s="89">
        <v>28</v>
      </c>
    </row>
    <row r="9" spans="1:15" ht="19.899999999999999" customHeight="1" x14ac:dyDescent="0.25">
      <c r="A9" s="8" t="s">
        <v>4438</v>
      </c>
      <c r="B9" s="9">
        <v>38</v>
      </c>
      <c r="C9" s="9">
        <v>1017</v>
      </c>
      <c r="D9" s="10">
        <v>26.763157894736842</v>
      </c>
      <c r="E9" s="12"/>
      <c r="F9" s="8" t="s">
        <v>4438</v>
      </c>
      <c r="G9" s="9">
        <v>32</v>
      </c>
      <c r="H9" s="9">
        <v>834</v>
      </c>
      <c r="I9" s="89">
        <v>26.0625</v>
      </c>
      <c r="J9" s="12"/>
      <c r="K9" s="8" t="s">
        <v>4438</v>
      </c>
      <c r="L9" s="9">
        <v>6</v>
      </c>
      <c r="M9" s="9">
        <v>183</v>
      </c>
      <c r="N9" s="89">
        <v>30.5</v>
      </c>
    </row>
    <row r="10" spans="1:15" ht="19.899999999999999" customHeight="1" x14ac:dyDescent="0.25">
      <c r="A10" s="8" t="s">
        <v>4262</v>
      </c>
      <c r="B10" s="9">
        <v>63</v>
      </c>
      <c r="C10" s="9">
        <v>1999</v>
      </c>
      <c r="D10" s="10">
        <v>31.730158730158731</v>
      </c>
      <c r="E10" s="12"/>
      <c r="F10" s="8" t="s">
        <v>4262</v>
      </c>
      <c r="G10" s="9">
        <v>51</v>
      </c>
      <c r="H10" s="9">
        <v>1676</v>
      </c>
      <c r="I10" s="89">
        <v>32.862745098039213</v>
      </c>
      <c r="J10" s="12"/>
      <c r="K10" s="8" t="s">
        <v>4262</v>
      </c>
      <c r="L10" s="9">
        <v>12</v>
      </c>
      <c r="M10" s="9">
        <v>323</v>
      </c>
      <c r="N10" s="89">
        <v>26.916666666666668</v>
      </c>
    </row>
    <row r="11" spans="1:15" ht="19.899999999999999" customHeight="1" x14ac:dyDescent="0.25">
      <c r="A11" s="8" t="s">
        <v>4271</v>
      </c>
      <c r="B11" s="9">
        <v>14</v>
      </c>
      <c r="C11" s="9">
        <v>618</v>
      </c>
      <c r="D11" s="10">
        <v>44.142857142857146</v>
      </c>
      <c r="E11" s="12"/>
      <c r="F11" s="8" t="s">
        <v>4271</v>
      </c>
      <c r="G11" s="9">
        <v>8</v>
      </c>
      <c r="H11" s="9">
        <v>379</v>
      </c>
      <c r="I11" s="89">
        <v>47.375</v>
      </c>
      <c r="J11" s="12"/>
      <c r="K11" s="8" t="s">
        <v>4271</v>
      </c>
      <c r="L11" s="9">
        <v>6</v>
      </c>
      <c r="M11" s="9">
        <v>239</v>
      </c>
      <c r="N11" s="89">
        <v>39.833333333333336</v>
      </c>
    </row>
    <row r="12" spans="1:15" ht="19.899999999999999" customHeight="1" x14ac:dyDescent="0.25">
      <c r="A12" s="8" t="s">
        <v>4274</v>
      </c>
      <c r="B12" s="9">
        <v>8</v>
      </c>
      <c r="C12" s="9">
        <v>319</v>
      </c>
      <c r="D12" s="10">
        <v>39.875</v>
      </c>
      <c r="E12" s="12"/>
      <c r="F12" s="8" t="s">
        <v>4274</v>
      </c>
      <c r="G12" s="9">
        <v>5</v>
      </c>
      <c r="H12" s="9">
        <v>210</v>
      </c>
      <c r="I12" s="89">
        <v>42</v>
      </c>
      <c r="K12" s="8" t="s">
        <v>4274</v>
      </c>
      <c r="L12" s="9">
        <v>3</v>
      </c>
      <c r="M12" s="9">
        <v>109</v>
      </c>
      <c r="N12" s="89">
        <v>36.333333333333336</v>
      </c>
    </row>
    <row r="13" spans="1:15" ht="19.899999999999999" customHeight="1" x14ac:dyDescent="0.25">
      <c r="A13" s="8" t="s">
        <v>4264</v>
      </c>
      <c r="B13" s="9">
        <v>20</v>
      </c>
      <c r="C13" s="9">
        <v>776</v>
      </c>
      <c r="D13" s="10">
        <v>38.799999999999997</v>
      </c>
      <c r="F13" s="8" t="s">
        <v>4264</v>
      </c>
      <c r="G13" s="9">
        <v>12</v>
      </c>
      <c r="H13" s="9">
        <v>507</v>
      </c>
      <c r="I13" s="89">
        <v>42.25</v>
      </c>
      <c r="K13" s="8" t="s">
        <v>4264</v>
      </c>
      <c r="L13" s="9">
        <v>8</v>
      </c>
      <c r="M13" s="9">
        <v>269</v>
      </c>
      <c r="N13" s="89">
        <v>33.625</v>
      </c>
    </row>
    <row r="14" spans="1:15" ht="19.899999999999999" customHeight="1" x14ac:dyDescent="0.25">
      <c r="A14" s="8" t="s">
        <v>37</v>
      </c>
      <c r="B14" s="9">
        <v>236</v>
      </c>
      <c r="C14" s="9">
        <v>6313</v>
      </c>
      <c r="D14" s="10">
        <v>26.75</v>
      </c>
      <c r="F14" s="8" t="s">
        <v>37</v>
      </c>
      <c r="G14" s="9">
        <v>172</v>
      </c>
      <c r="H14" s="9">
        <v>4698</v>
      </c>
      <c r="I14" s="89">
        <v>27.313953488372093</v>
      </c>
      <c r="K14" s="8" t="s">
        <v>37</v>
      </c>
      <c r="L14" s="9">
        <v>64</v>
      </c>
      <c r="M14" s="9">
        <v>1615</v>
      </c>
      <c r="N14" s="89">
        <v>25.234375</v>
      </c>
    </row>
    <row r="15" spans="1:15" ht="19.899999999999999" customHeight="1" x14ac:dyDescent="0.25">
      <c r="A15"/>
      <c r="B15"/>
      <c r="C15"/>
      <c r="D15"/>
      <c r="F15"/>
      <c r="G15"/>
      <c r="H15"/>
      <c r="I15"/>
      <c r="K15"/>
      <c r="L15"/>
      <c r="M15"/>
      <c r="N15"/>
    </row>
    <row r="16" spans="1:15" ht="19.899999999999999" customHeight="1" x14ac:dyDescent="0.25">
      <c r="A16"/>
      <c r="B16"/>
      <c r="C16"/>
      <c r="D16"/>
      <c r="F16" s="8" t="s">
        <v>4440</v>
      </c>
      <c r="G16" s="74">
        <f>+GETPIVOTDATA("Cuenta de Ítem",$F$6,"Mes fin","Jan")</f>
        <v>54</v>
      </c>
      <c r="H16" s="74">
        <f>+GETPIVOTDATA("Suma de No. 
de días",$F$6,"Mes fin","Jan")</f>
        <v>878</v>
      </c>
      <c r="I16" s="12">
        <f>+H16/G16</f>
        <v>16.25925925925926</v>
      </c>
      <c r="K16"/>
      <c r="L16"/>
      <c r="M16"/>
      <c r="N16"/>
    </row>
    <row r="17" spans="1:14" ht="19.899999999999999" customHeight="1" x14ac:dyDescent="0.25">
      <c r="A17"/>
      <c r="B17"/>
      <c r="C17"/>
      <c r="D17"/>
      <c r="F17" s="8" t="s">
        <v>4441</v>
      </c>
      <c r="G17" s="9">
        <v>0</v>
      </c>
      <c r="H17" s="9">
        <v>0</v>
      </c>
      <c r="I17" s="12">
        <v>0</v>
      </c>
      <c r="K17"/>
      <c r="L17"/>
      <c r="M17"/>
      <c r="N17"/>
    </row>
    <row r="18" spans="1:14" ht="19.899999999999999" customHeight="1" x14ac:dyDescent="0.25">
      <c r="A18"/>
      <c r="B18"/>
      <c r="C18"/>
      <c r="D18"/>
      <c r="F18" s="8" t="s">
        <v>4442</v>
      </c>
      <c r="G18" s="9">
        <f>SUM(G8:G10)</f>
        <v>93</v>
      </c>
      <c r="H18" s="9">
        <f>SUM(H8:H10)</f>
        <v>2724</v>
      </c>
      <c r="I18" s="12">
        <f>+H18/G18</f>
        <v>29.29032258064516</v>
      </c>
      <c r="K18"/>
      <c r="L18"/>
      <c r="M18"/>
      <c r="N18"/>
    </row>
    <row r="19" spans="1:14" ht="19.899999999999999" customHeight="1" x14ac:dyDescent="0.25">
      <c r="A19"/>
      <c r="B19"/>
      <c r="C19"/>
      <c r="D19"/>
      <c r="F19" s="8" t="s">
        <v>4443</v>
      </c>
      <c r="G19" s="9">
        <f>SUM(G11:G13)</f>
        <v>25</v>
      </c>
      <c r="H19" s="9">
        <f>SUM(H11:H13)</f>
        <v>1096</v>
      </c>
      <c r="I19" s="12">
        <f>+H19/G19</f>
        <v>43.84</v>
      </c>
    </row>
    <row r="20" spans="1:14" ht="19.899999999999999" customHeight="1" x14ac:dyDescent="0.25">
      <c r="F20" s="364" t="s">
        <v>49</v>
      </c>
      <c r="G20" s="365">
        <f>SUM(G16:G19)</f>
        <v>172</v>
      </c>
      <c r="H20" s="365">
        <f>SUM(H16:H19)</f>
        <v>4698</v>
      </c>
      <c r="I20" s="366">
        <f>+H20/G20</f>
        <v>27.313953488372093</v>
      </c>
    </row>
  </sheetData>
  <mergeCells count="3">
    <mergeCell ref="A1:D1"/>
    <mergeCell ref="F1:I1"/>
    <mergeCell ref="K1:N1"/>
  </mergeCell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topLeftCell="A24" zoomScale="110" zoomScaleNormal="110" workbookViewId="0">
      <selection activeCell="E32" sqref="E32"/>
    </sheetView>
  </sheetViews>
  <sheetFormatPr baseColWidth="10" defaultColWidth="11.5703125" defaultRowHeight="19.899999999999999" customHeight="1" x14ac:dyDescent="0.25"/>
  <cols>
    <col min="1" max="1" width="27.5703125" style="7" customWidth="1"/>
    <col min="2" max="2" width="18.85546875" style="7" customWidth="1"/>
    <col min="3" max="4" width="16.28515625" style="7" customWidth="1"/>
    <col min="5" max="5" width="14.140625" style="7" customWidth="1"/>
    <col min="6" max="6" width="8.5703125" style="74" customWidth="1"/>
    <col min="7" max="7" width="4.140625" style="7" customWidth="1"/>
    <col min="8" max="8" width="27.5703125" style="7" customWidth="1"/>
    <col min="9" max="9" width="17.7109375" style="7" customWidth="1"/>
    <col min="10" max="11" width="16.28515625" style="7" customWidth="1"/>
    <col min="12" max="12" width="19.7109375" style="7" customWidth="1"/>
    <col min="13" max="13" width="12.42578125" style="74" customWidth="1"/>
    <col min="14" max="14" width="11.5703125" style="7"/>
    <col min="15" max="16384" width="11.5703125" style="55"/>
  </cols>
  <sheetData>
    <row r="1" spans="1:14" ht="19.899999999999999" customHeight="1" x14ac:dyDescent="0.25">
      <c r="A1" s="512" t="s">
        <v>129</v>
      </c>
      <c r="B1" s="512"/>
      <c r="C1" s="512"/>
      <c r="D1" s="512"/>
      <c r="E1" s="512"/>
      <c r="F1" s="512"/>
      <c r="H1" s="512" t="s">
        <v>130</v>
      </c>
      <c r="I1" s="512"/>
      <c r="J1" s="512"/>
      <c r="K1" s="512"/>
      <c r="L1" s="512"/>
      <c r="M1" s="512"/>
    </row>
    <row r="2" spans="1:14" ht="19.899999999999999" customHeight="1" x14ac:dyDescent="0.25">
      <c r="A2" s="6" t="s">
        <v>13</v>
      </c>
      <c r="B2" s="7" t="s">
        <v>4439</v>
      </c>
      <c r="H2" s="6" t="s">
        <v>13</v>
      </c>
      <c r="I2" s="7" t="s">
        <v>40</v>
      </c>
    </row>
    <row r="3" spans="1:14" ht="19.899999999999999" customHeight="1" x14ac:dyDescent="0.25">
      <c r="A3" s="6" t="s">
        <v>19</v>
      </c>
      <c r="B3" s="7" t="s">
        <v>169</v>
      </c>
      <c r="H3" s="6" t="s">
        <v>19</v>
      </c>
      <c r="I3" s="7" t="s">
        <v>169</v>
      </c>
    </row>
    <row r="4" spans="1:14" ht="19.899999999999999" customHeight="1" x14ac:dyDescent="0.25">
      <c r="A4" s="6" t="s">
        <v>24</v>
      </c>
      <c r="B4" s="7" t="s">
        <v>980</v>
      </c>
      <c r="H4" s="6" t="s">
        <v>24</v>
      </c>
      <c r="I4" s="7" t="s">
        <v>980</v>
      </c>
    </row>
    <row r="6" spans="1:14" s="66" customFormat="1" ht="30" x14ac:dyDescent="0.25">
      <c r="A6" s="75" t="s">
        <v>36</v>
      </c>
      <c r="B6" s="11" t="s">
        <v>38</v>
      </c>
      <c r="C6" s="11" t="s">
        <v>87</v>
      </c>
      <c r="D6" s="11" t="s">
        <v>981</v>
      </c>
      <c r="E6" s="11" t="s">
        <v>985</v>
      </c>
      <c r="F6" s="11"/>
      <c r="G6" s="11"/>
      <c r="H6" s="75" t="s">
        <v>36</v>
      </c>
      <c r="I6" s="11" t="s">
        <v>38</v>
      </c>
      <c r="J6" s="11" t="s">
        <v>87</v>
      </c>
      <c r="K6" s="74" t="s">
        <v>981</v>
      </c>
      <c r="L6" s="11" t="s">
        <v>985</v>
      </c>
      <c r="M6" s="11"/>
      <c r="N6" s="11"/>
    </row>
    <row r="7" spans="1:14" ht="19.899999999999999" customHeight="1" x14ac:dyDescent="0.25">
      <c r="A7" s="8" t="s">
        <v>4431</v>
      </c>
      <c r="B7" s="9">
        <v>83</v>
      </c>
      <c r="C7" s="45">
        <v>95632768956</v>
      </c>
      <c r="D7" s="45">
        <v>95383807281</v>
      </c>
      <c r="E7" s="45">
        <v>248961675</v>
      </c>
      <c r="F7" s="63" t="e">
        <f>+GETPIVOTDATA("Suma de Valor Ahorro",$A$6,"Mes fin","ene")/GETPIVOTDATA("Suma de Valor     Presupuestado ",$A$6,"Mes fin","ene")</f>
        <v>#REF!</v>
      </c>
      <c r="H7" s="8" t="s">
        <v>4431</v>
      </c>
      <c r="I7" s="9">
        <v>1</v>
      </c>
      <c r="J7" s="45">
        <v>75000000000</v>
      </c>
      <c r="K7" s="45">
        <v>74954422758</v>
      </c>
      <c r="L7" s="45">
        <v>45577242</v>
      </c>
      <c r="M7" s="63" t="e">
        <f>+GETPIVOTDATA("Suma de Valor Ahorro",$H$6,"Mes fin","ene")/GETPIVOTDATA("Suma de Valor     Presupuestado ",$H$6,"Mes fin","ene")</f>
        <v>#REF!</v>
      </c>
      <c r="N7" s="46"/>
    </row>
    <row r="8" spans="1:14" ht="19.899999999999999" customHeight="1" x14ac:dyDescent="0.25">
      <c r="A8" s="8" t="s">
        <v>4432</v>
      </c>
      <c r="B8" s="9">
        <v>11</v>
      </c>
      <c r="C8" s="45">
        <v>3922673240</v>
      </c>
      <c r="D8" s="45">
        <v>3824988891</v>
      </c>
      <c r="E8" s="45">
        <v>97684349</v>
      </c>
      <c r="F8" s="63">
        <f>+GETPIVOTDATA("Suma de Valor Ahorro",$A$6)/GETPIVOTDATA("Suma de Valor     Presupuestado ",$A$6)</f>
        <v>1.0977830329664219E-2</v>
      </c>
      <c r="H8" s="8" t="s">
        <v>4434</v>
      </c>
      <c r="I8" s="9">
        <v>4</v>
      </c>
      <c r="J8" s="45">
        <v>41005778459</v>
      </c>
      <c r="K8" s="45">
        <v>40671810947</v>
      </c>
      <c r="L8" s="45">
        <v>333967512</v>
      </c>
      <c r="M8" s="63" t="e">
        <f>+GETPIVOTDATA("Suma de Valor Ahorro",$H$6,"Mes fin","abr")/GETPIVOTDATA("Suma de Valor     Presupuestado ",$H$6,"Mes fin","abr")</f>
        <v>#REF!</v>
      </c>
      <c r="N8" s="46"/>
    </row>
    <row r="9" spans="1:14" ht="19.899999999999999" customHeight="1" x14ac:dyDescent="0.25">
      <c r="A9" s="8" t="s">
        <v>4433</v>
      </c>
      <c r="B9" s="9">
        <v>3</v>
      </c>
      <c r="C9" s="45">
        <v>3633971408</v>
      </c>
      <c r="D9" s="45">
        <v>3225151036.3999996</v>
      </c>
      <c r="E9" s="45">
        <v>408820371.60000014</v>
      </c>
      <c r="F9" s="63">
        <f>+GETPIVOTDATA("Suma de Valor Ahorro",$A$6,"Mes fin","MAR")/GETPIVOTDATA("Suma de Valor     Presupuestado ",$A$6,"Mes fin","MAR")</f>
        <v>0.11249961149941996</v>
      </c>
      <c r="H9" s="8" t="s">
        <v>4435</v>
      </c>
      <c r="I9" s="9">
        <v>7</v>
      </c>
      <c r="J9" s="45">
        <v>5758244173</v>
      </c>
      <c r="K9" s="45">
        <v>5708556704</v>
      </c>
      <c r="L9" s="45">
        <v>49687469</v>
      </c>
      <c r="M9" s="63">
        <f>+GETPIVOTDATA("Suma de Valor Ahorro",$H$6,"Mes fin","may")/GETPIVOTDATA("Suma de Valor     Presupuestado ",$H$6,"Mes fin","may")</f>
        <v>8.6289270665146564E-3</v>
      </c>
    </row>
    <row r="10" spans="1:14" ht="19.899999999999999" customHeight="1" x14ac:dyDescent="0.25">
      <c r="A10" s="8" t="s">
        <v>4434</v>
      </c>
      <c r="B10" s="9">
        <v>4</v>
      </c>
      <c r="C10" s="45">
        <v>41005778459</v>
      </c>
      <c r="D10" s="45">
        <v>40671810947</v>
      </c>
      <c r="E10" s="45">
        <v>333967512</v>
      </c>
      <c r="F10" s="63" t="e">
        <f>+GETPIVOTDATA("Suma de Valor Ahorro",$A$6,"Mes fin","abr")/GETPIVOTDATA("Suma de Valor     Presupuestado ",$A$6,"Mes fin","abr")</f>
        <v>#REF!</v>
      </c>
      <c r="H10" s="8" t="s">
        <v>4436</v>
      </c>
      <c r="I10" s="9">
        <v>5</v>
      </c>
      <c r="J10" s="45">
        <v>1714594442</v>
      </c>
      <c r="K10" s="45">
        <v>1679921873</v>
      </c>
      <c r="L10" s="45">
        <v>34672569</v>
      </c>
      <c r="M10" s="63">
        <f>+GETPIVOTDATA("Suma de Valor Ahorro",$H$6)/GETPIVOTDATA("Suma de Valor     Presupuestado ",$H$6)</f>
        <v>4.487626305665072E-3</v>
      </c>
    </row>
    <row r="11" spans="1:14" ht="19.899999999999999" customHeight="1" x14ac:dyDescent="0.25">
      <c r="A11" s="8" t="s">
        <v>4435</v>
      </c>
      <c r="B11" s="9">
        <v>18</v>
      </c>
      <c r="C11" s="45">
        <v>18662046249.526318</v>
      </c>
      <c r="D11" s="45">
        <v>17271274372</v>
      </c>
      <c r="E11" s="45">
        <v>1390771877.5263162</v>
      </c>
      <c r="F11" s="63">
        <f>+GETPIVOTDATA("Suma de Valor Ahorro",$A$6)/GETPIVOTDATA("Suma de Valor     Presupuestado ",$A$6)</f>
        <v>1.0977830329664219E-2</v>
      </c>
      <c r="H11" s="8" t="s">
        <v>4437</v>
      </c>
      <c r="I11" s="9">
        <v>10</v>
      </c>
      <c r="J11" s="45">
        <v>10365441416</v>
      </c>
      <c r="K11" s="45">
        <v>10288530721</v>
      </c>
      <c r="L11" s="45">
        <v>76910695</v>
      </c>
      <c r="M11" s="63">
        <f>+GETPIVOTDATA("Suma de Valor Ahorro",$H$6,"Mes fin","jul")/GETPIVOTDATA("Suma de Valor     Presupuestado ",$H$6,"Mes fin","jul")</f>
        <v>7.4199150729154055E-3</v>
      </c>
    </row>
    <row r="12" spans="1:14" ht="19.899999999999999" customHeight="1" x14ac:dyDescent="0.25">
      <c r="A12" s="8" t="s">
        <v>4436</v>
      </c>
      <c r="B12" s="9">
        <v>15</v>
      </c>
      <c r="C12" s="45">
        <v>11189141325</v>
      </c>
      <c r="D12" s="45">
        <v>10956543346</v>
      </c>
      <c r="E12" s="45">
        <v>232597979</v>
      </c>
      <c r="F12" s="63">
        <f>+GETPIVOTDATA("Suma de Valor Ahorro",$A$6,"Mes fin","jun")/GETPIVOTDATA("Suma de Valor ",$A$6,"Mes fin","jun")</f>
        <v>2.1229138757974844E-2</v>
      </c>
      <c r="H12" s="8" t="s">
        <v>4438</v>
      </c>
      <c r="I12" s="9">
        <v>15</v>
      </c>
      <c r="J12" s="45">
        <v>237119840406</v>
      </c>
      <c r="K12" s="45">
        <v>236237110731</v>
      </c>
      <c r="L12" s="45">
        <v>882729675</v>
      </c>
      <c r="M12" s="63" t="e">
        <f>+GETPIVOTDATA("Suma de Valor Ahorro",$H$6,"Mes fin","ago")/GETPIVOTDATA("Suma de Valor     Presupuestado ",$H$6,"Mes fin","ago")</f>
        <v>#REF!</v>
      </c>
    </row>
    <row r="13" spans="1:14" ht="19.899999999999999" customHeight="1" x14ac:dyDescent="0.25">
      <c r="A13" s="8" t="s">
        <v>4437</v>
      </c>
      <c r="B13" s="9">
        <v>35</v>
      </c>
      <c r="C13" s="45">
        <v>25834357119.599998</v>
      </c>
      <c r="D13" s="45">
        <v>25499952283</v>
      </c>
      <c r="E13" s="45">
        <v>334404836.60000002</v>
      </c>
      <c r="F13" s="127">
        <f>+GETPIVOTDATA("Suma de Valor Ahorro",$A$6,"Mes fin","jul")/GETPIVOTDATA("Suma de Valor     Presupuestado ",$A$6,"Mes fin","jul")</f>
        <v>1.2944190368348431E-2</v>
      </c>
      <c r="H13" s="8" t="s">
        <v>4262</v>
      </c>
      <c r="I13" s="9">
        <v>11</v>
      </c>
      <c r="J13" s="45">
        <v>14058886814</v>
      </c>
      <c r="K13" s="45">
        <v>14017098275</v>
      </c>
      <c r="L13" s="45">
        <v>41788539</v>
      </c>
      <c r="M13" s="63">
        <f>+GETPIVOTDATA("Suma de Valor Ahorro",$H$6,"Mes fin","sep")/GETPIVOTDATA("Suma de Valor     Presupuestado ",$H$6,"Mes fin","sep")</f>
        <v>2.9723931597760993E-3</v>
      </c>
    </row>
    <row r="14" spans="1:14" ht="19.899999999999999" customHeight="1" x14ac:dyDescent="0.25">
      <c r="A14" s="8" t="s">
        <v>4438</v>
      </c>
      <c r="B14" s="9">
        <v>58</v>
      </c>
      <c r="C14" s="45">
        <v>256080985005</v>
      </c>
      <c r="D14" s="45">
        <v>255033571009</v>
      </c>
      <c r="E14" s="45">
        <v>1047413996</v>
      </c>
      <c r="F14" s="184" t="e">
        <f>+GETPIVOTDATA("Suma de Valor Ahorro",$A$6,"Mes fin","ago")/GETPIVOTDATA("Suma de Valor     Presupuestado ",$A$6,"Mes fin","ago")</f>
        <v>#REF!</v>
      </c>
      <c r="H14" s="8" t="s">
        <v>4264</v>
      </c>
      <c r="I14" s="9">
        <v>1</v>
      </c>
      <c r="J14" s="45">
        <v>1155586097</v>
      </c>
      <c r="K14" s="45">
        <v>887895578</v>
      </c>
      <c r="L14" s="45">
        <v>267690519</v>
      </c>
      <c r="M14" s="109">
        <f>+GETPIVOTDATA("Suma de Valor Ahorro",$H$6,"Mes fin","Dec")/GETPIVOTDATA("Suma de Valor     Presupuestado ",$H$6,"Mes fin","Dec")</f>
        <v>0.23164913431802911</v>
      </c>
    </row>
    <row r="15" spans="1:14" ht="19.899999999999999" customHeight="1" x14ac:dyDescent="0.25">
      <c r="A15" s="8" t="s">
        <v>4262</v>
      </c>
      <c r="B15" s="9">
        <v>90</v>
      </c>
      <c r="C15" s="45">
        <v>36231615826</v>
      </c>
      <c r="D15" s="45">
        <v>35338877077</v>
      </c>
      <c r="E15" s="45">
        <v>892738749</v>
      </c>
      <c r="F15" s="184">
        <f>+GETPIVOTDATA("Suma de Valor Ahorro",$A$6,"Mes fin","sep")/GETPIVOTDATA("Suma de Valor     Presupuestado ",$A$6,"Mes fin","sep")</f>
        <v>2.4639771885618358E-2</v>
      </c>
      <c r="H15" s="8" t="s">
        <v>37</v>
      </c>
      <c r="I15" s="9">
        <v>54</v>
      </c>
      <c r="J15" s="45">
        <v>386178371807</v>
      </c>
      <c r="K15" s="45">
        <v>384445347587</v>
      </c>
      <c r="L15" s="45">
        <v>1733024220</v>
      </c>
      <c r="M15" s="363">
        <f>+GETPIVOTDATA("Suma de Valor Ahorro",$H$6)/GETPIVOTDATA("Suma de Valor     Presupuestado ",$H$6)</f>
        <v>4.487626305665072E-3</v>
      </c>
    </row>
    <row r="16" spans="1:14" ht="19.899999999999999" customHeight="1" x14ac:dyDescent="0.25">
      <c r="A16" s="8" t="s">
        <v>4271</v>
      </c>
      <c r="B16" s="9">
        <v>15</v>
      </c>
      <c r="C16" s="45">
        <v>2807511296</v>
      </c>
      <c r="D16" s="45">
        <v>2780266256</v>
      </c>
      <c r="E16" s="45">
        <v>27245040</v>
      </c>
      <c r="F16" s="184">
        <f>+GETPIVOTDATA("Suma de Valor Ahorro",$A$6,"Mes fin","oct")/GETPIVOTDATA("Suma de Valor     Presupuestado ",$A$6,"Mes fin","oct")</f>
        <v>9.7043385146187485E-3</v>
      </c>
      <c r="J16" s="49"/>
      <c r="K16" s="49"/>
      <c r="L16" s="49"/>
      <c r="M16" s="101"/>
    </row>
    <row r="17" spans="1:14" ht="19.899999999999999" customHeight="1" x14ac:dyDescent="0.25">
      <c r="A17" s="8" t="s">
        <v>4274</v>
      </c>
      <c r="B17" s="9">
        <v>8</v>
      </c>
      <c r="C17" s="45">
        <v>4295323111</v>
      </c>
      <c r="D17" s="45">
        <v>4291269728</v>
      </c>
      <c r="E17" s="45">
        <v>4053383</v>
      </c>
      <c r="F17" s="262">
        <f>+GETPIVOTDATA("Suma de Valor Ahorro",$A$6)/GETPIVOTDATA("Suma de Valor     Presupuestado ",$A$6)</f>
        <v>1.0977830329664219E-2</v>
      </c>
      <c r="H17" s="7" t="s">
        <v>4440</v>
      </c>
      <c r="I17" s="74">
        <f>GETPIVOTDATA("Cuenta de Ítem",$H$6,"Mes fin","Jan")</f>
        <v>1</v>
      </c>
      <c r="J17" s="49">
        <f>+GETPIVOTDATA("Suma de Valor     Presupuestado ",$H$6,"Mes fin","Jan")</f>
        <v>75000000000</v>
      </c>
      <c r="K17" s="49">
        <f>+GETPIVOTDATA("Suma de Valor ",$H$6,"Mes fin","Jan")</f>
        <v>74954422758</v>
      </c>
      <c r="L17" s="49">
        <f>+GETPIVOTDATA("Suma de Valor Ahorro",$H$6,"Mes fin","Jan")</f>
        <v>45577242</v>
      </c>
      <c r="M17" s="371">
        <f>+L17/J17</f>
        <v>6.0769655999999995E-4</v>
      </c>
    </row>
    <row r="18" spans="1:14" ht="19.899999999999999" customHeight="1" x14ac:dyDescent="0.25">
      <c r="A18" s="8" t="s">
        <v>4264</v>
      </c>
      <c r="B18" s="9">
        <v>25</v>
      </c>
      <c r="C18" s="45">
        <v>9373914446</v>
      </c>
      <c r="D18" s="45">
        <v>8808480312</v>
      </c>
      <c r="E18" s="45">
        <v>565434134</v>
      </c>
      <c r="H18" s="7" t="s">
        <v>4441</v>
      </c>
      <c r="I18" s="74">
        <f>SUM(I8:I10)</f>
        <v>16</v>
      </c>
      <c r="J18" s="49">
        <f>+GETPIVOTDATA("Suma de Valor     Presupuestado ",$H$6,"Mes fin","Apr")+GETPIVOTDATA("Suma de Valor     Presupuestado ",$H$6,"Mes fin","May")+GETPIVOTDATA("Suma de Valor     Presupuestado ",$H$6,"Mes fin","Jun")</f>
        <v>48478617074</v>
      </c>
      <c r="K18" s="49">
        <f>+GETPIVOTDATA("Suma de Valor ",$H$6,"Mes fin","Apr")+GETPIVOTDATA("Suma de Valor ",$H$6,"Mes fin","May")+GETPIVOTDATA("Suma de Valor ",$H$6,"Mes fin","Jun")</f>
        <v>48060289524</v>
      </c>
      <c r="L18" s="49">
        <f>+GETPIVOTDATA("Suma de Valor Ahorro",$H$6,"Mes fin","Apr")+GETPIVOTDATA("Suma de Valor Ahorro",$H$6,"Mes fin","May")+GETPIVOTDATA("Suma de Valor Ahorro",$H$6,"Mes fin","Jun")</f>
        <v>418327550</v>
      </c>
      <c r="M18" s="371">
        <f t="shared" ref="M18:M21" si="0">+L18/J18</f>
        <v>8.6291147571607805E-3</v>
      </c>
    </row>
    <row r="19" spans="1:14" ht="19.899999999999999" customHeight="1" x14ac:dyDescent="0.25">
      <c r="A19" s="8" t="s">
        <v>37</v>
      </c>
      <c r="B19" s="9">
        <v>365</v>
      </c>
      <c r="C19" s="45">
        <v>508670086441.12634</v>
      </c>
      <c r="D19" s="45">
        <v>503085992538.40002</v>
      </c>
      <c r="E19" s="45">
        <v>5584093902.7263165</v>
      </c>
      <c r="F19" s="109">
        <f>+GETPIVOTDATA("Suma de Valor Ahorro",$A$6)/GETPIVOTDATA("Suma de Valor     Presupuestado ",$A$6)</f>
        <v>1.0977830329664219E-2</v>
      </c>
      <c r="H19" s="7" t="s">
        <v>4442</v>
      </c>
      <c r="I19" s="367">
        <f>SUM(I11:I13)</f>
        <v>36</v>
      </c>
      <c r="J19" s="49">
        <f>+GETPIVOTDATA("Suma de Valor     Presupuestado ",$H$6,"Mes fin","Jul")+GETPIVOTDATA("Suma de Valor     Presupuestado ",$H$6,"Mes fin","Aug")+GETPIVOTDATA("Suma de Valor     Presupuestado ",$H$6,"Mes fin","Sep")</f>
        <v>261544168636</v>
      </c>
      <c r="K19" s="49">
        <f>+GETPIVOTDATA("Suma de Valor ",$H$6,"Mes fin","Jul")+GETPIVOTDATA("Suma de Valor ",$H$6,"Mes fin","Aug")+GETPIVOTDATA("Suma de Valor ",$H$6,"Mes fin","Sep")</f>
        <v>260542739727</v>
      </c>
      <c r="L19" s="49">
        <f>+GETPIVOTDATA("Suma de Valor Ahorro",$H$6,"Mes fin","Jul")+GETPIVOTDATA("Suma de Valor Ahorro",$H$6,"Mes fin","Aug")+GETPIVOTDATA("Suma de Valor Ahorro",$H$6,"Mes fin","Sep")</f>
        <v>1001428909</v>
      </c>
      <c r="M19" s="371">
        <f t="shared" si="0"/>
        <v>3.8289093357448279E-3</v>
      </c>
    </row>
    <row r="20" spans="1:14" ht="19.899999999999999" customHeight="1" x14ac:dyDescent="0.25">
      <c r="A20" s="8"/>
      <c r="B20" s="9"/>
      <c r="C20" s="45"/>
      <c r="D20" s="45"/>
      <c r="E20" s="45"/>
      <c r="F20" s="109"/>
      <c r="H20" s="7" t="s">
        <v>4443</v>
      </c>
      <c r="I20" s="367">
        <f>+GETPIVOTDATA("Cuenta de Ítem",$H$6,"Mes fin","Dec")</f>
        <v>1</v>
      </c>
      <c r="J20" s="49">
        <f>+GETPIVOTDATA("Suma de Valor     Presupuestado ",$H$6,"Mes fin","Dec")</f>
        <v>1155586097</v>
      </c>
      <c r="K20" s="49">
        <f>+GETPIVOTDATA("Suma de Valor ",$H$6,"Mes fin","Dec")</f>
        <v>887895578</v>
      </c>
      <c r="L20" s="49">
        <f>+GETPIVOTDATA("Suma de Valor Ahorro",$H$6,"Mes fin","Dec")</f>
        <v>267690519</v>
      </c>
      <c r="M20" s="371">
        <f t="shared" si="0"/>
        <v>0.23164913431802911</v>
      </c>
    </row>
    <row r="21" spans="1:14" ht="19.899999999999999" customHeight="1" x14ac:dyDescent="0.25">
      <c r="A21" s="8"/>
      <c r="B21" s="9"/>
      <c r="C21" s="45"/>
      <c r="D21" s="45"/>
      <c r="E21" s="45"/>
      <c r="F21" s="109"/>
      <c r="H21" s="368" t="s">
        <v>49</v>
      </c>
      <c r="I21" s="369">
        <f>SUM(I17:I20)</f>
        <v>54</v>
      </c>
      <c r="J21" s="370">
        <f>SUM(J17:J20)</f>
        <v>386178371807</v>
      </c>
      <c r="K21" s="370">
        <f t="shared" ref="K21:L21" si="1">SUM(K17:K20)</f>
        <v>384445347587</v>
      </c>
      <c r="L21" s="370">
        <f t="shared" si="1"/>
        <v>1733024220</v>
      </c>
      <c r="M21" s="363">
        <f t="shared" si="0"/>
        <v>4.487626305665072E-3</v>
      </c>
    </row>
    <row r="22" spans="1:14" ht="19.899999999999999" customHeight="1" x14ac:dyDescent="0.25">
      <c r="A22" s="8"/>
      <c r="B22" s="9"/>
      <c r="C22" s="45"/>
      <c r="D22" s="45"/>
      <c r="E22" s="45"/>
      <c r="F22" s="109"/>
      <c r="J22" s="49"/>
      <c r="K22" s="49"/>
      <c r="L22" s="49"/>
      <c r="M22" s="101"/>
    </row>
    <row r="23" spans="1:14" ht="19.899999999999999" customHeight="1" x14ac:dyDescent="0.25">
      <c r="A23" s="8"/>
      <c r="B23" s="9"/>
      <c r="C23" s="45"/>
      <c r="D23" s="45"/>
      <c r="E23" s="45"/>
      <c r="J23" s="49"/>
      <c r="K23" s="49"/>
      <c r="L23" s="49"/>
      <c r="M23" s="101"/>
    </row>
    <row r="24" spans="1:14" ht="19.899999999999999" customHeight="1" x14ac:dyDescent="0.25">
      <c r="A24" s="512" t="s">
        <v>131</v>
      </c>
      <c r="B24" s="512"/>
      <c r="C24" s="512"/>
      <c r="D24" s="512"/>
      <c r="E24" s="512"/>
      <c r="F24" s="512"/>
      <c r="H24" s="512" t="s">
        <v>132</v>
      </c>
      <c r="I24" s="512"/>
      <c r="J24" s="512"/>
      <c r="K24" s="512"/>
      <c r="L24" s="512"/>
      <c r="M24" s="512"/>
    </row>
    <row r="25" spans="1:14" ht="19.899999999999999" customHeight="1" x14ac:dyDescent="0.25">
      <c r="A25" s="6" t="s">
        <v>13</v>
      </c>
      <c r="B25" s="7" t="s">
        <v>43</v>
      </c>
      <c r="H25" s="6" t="s">
        <v>13</v>
      </c>
      <c r="I25" s="7" t="s">
        <v>230</v>
      </c>
    </row>
    <row r="26" spans="1:14" ht="19.899999999999999" customHeight="1" x14ac:dyDescent="0.25">
      <c r="A26" s="6" t="s">
        <v>19</v>
      </c>
      <c r="B26" s="7" t="s">
        <v>169</v>
      </c>
      <c r="H26" s="6" t="s">
        <v>19</v>
      </c>
      <c r="I26" s="7" t="s">
        <v>169</v>
      </c>
    </row>
    <row r="27" spans="1:14" ht="19.899999999999999" customHeight="1" x14ac:dyDescent="0.25">
      <c r="A27" s="6" t="s">
        <v>24</v>
      </c>
      <c r="B27" s="7" t="s">
        <v>258</v>
      </c>
      <c r="H27" s="6" t="s">
        <v>24</v>
      </c>
      <c r="I27" s="7" t="s">
        <v>980</v>
      </c>
    </row>
    <row r="29" spans="1:14" s="66" customFormat="1" ht="30" x14ac:dyDescent="0.25">
      <c r="A29" s="75" t="s">
        <v>36</v>
      </c>
      <c r="B29" s="11" t="s">
        <v>38</v>
      </c>
      <c r="C29" s="11" t="s">
        <v>87</v>
      </c>
      <c r="D29" s="11" t="s">
        <v>981</v>
      </c>
      <c r="E29" s="11" t="s">
        <v>985</v>
      </c>
      <c r="F29" s="11"/>
      <c r="G29" s="11"/>
      <c r="H29" s="75" t="s">
        <v>36</v>
      </c>
      <c r="I29" s="11" t="s">
        <v>38</v>
      </c>
      <c r="J29" s="11" t="s">
        <v>87</v>
      </c>
      <c r="K29" s="7" t="s">
        <v>981</v>
      </c>
      <c r="L29" s="7" t="s">
        <v>985</v>
      </c>
      <c r="M29" s="11"/>
      <c r="N29" s="11"/>
    </row>
    <row r="30" spans="1:14" ht="19.899999999999999" customHeight="1" x14ac:dyDescent="0.25">
      <c r="A30" s="8" t="s">
        <v>4431</v>
      </c>
      <c r="B30" s="9">
        <v>73</v>
      </c>
      <c r="C30" s="45">
        <v>14892903013</v>
      </c>
      <c r="D30" s="45">
        <v>14690676178</v>
      </c>
      <c r="E30" s="45">
        <v>202226835</v>
      </c>
      <c r="F30" s="63">
        <f>+GETPIVOTDATA("Suma de Valor Ahorro",$A$29,"Mes fin","Jan")/GETPIVOTDATA("Suma de Valor     Presupuestado ",$A$29,"Mes fin","Jan")</f>
        <v>1.357873846512506E-2</v>
      </c>
      <c r="G30" s="63"/>
      <c r="H30" s="8" t="s">
        <v>4432</v>
      </c>
      <c r="I30" s="9">
        <v>11</v>
      </c>
      <c r="J30" s="45">
        <v>3922673240</v>
      </c>
      <c r="K30" s="45">
        <v>3824988891</v>
      </c>
      <c r="L30" s="45">
        <v>97684349</v>
      </c>
      <c r="M30" s="63">
        <f>+GETPIVOTDATA("Suma de Valor Ahorro",$H$29,"Mes fin","feb")/GETPIVOTDATA("Suma de Valor     Presupuestado ",$H$29,"Mes fin","feb")</f>
        <v>2.4902494554963236E-2</v>
      </c>
    </row>
    <row r="31" spans="1:14" ht="19.899999999999999" customHeight="1" x14ac:dyDescent="0.25">
      <c r="A31" s="8" t="s">
        <v>4437</v>
      </c>
      <c r="B31" s="9">
        <v>9</v>
      </c>
      <c r="C31" s="45">
        <v>1875582472</v>
      </c>
      <c r="D31" s="45">
        <v>1770679976</v>
      </c>
      <c r="E31" s="45">
        <v>104902496</v>
      </c>
      <c r="F31" s="63">
        <f>+GETPIVOTDATA("Suma de Valor Ahorro",$A$29,"Mes fin","jul")/GETPIVOTDATA("Suma de Valor     Presupuestado ",$A$29,"Mes fin","jul")</f>
        <v>5.5930622921709625E-2</v>
      </c>
      <c r="G31" s="63"/>
      <c r="H31" s="8" t="s">
        <v>4433</v>
      </c>
      <c r="I31" s="9">
        <v>3</v>
      </c>
      <c r="J31" s="45">
        <v>3633971408</v>
      </c>
      <c r="K31" s="45">
        <v>3225151036.3999996</v>
      </c>
      <c r="L31" s="45">
        <v>408820371.60000014</v>
      </c>
      <c r="M31" s="63">
        <f>+GETPIVOTDATA("Suma de Valor Ahorro",$H$29,"Mes fin","MAR")/GETPIVOTDATA("Suma de Valor     Presupuestado ",$H$29,"Mes fin","MAR")</f>
        <v>0.11249961149941996</v>
      </c>
    </row>
    <row r="32" spans="1:14" ht="19.899999999999999" customHeight="1" x14ac:dyDescent="0.25">
      <c r="A32" s="8" t="s">
        <v>4438</v>
      </c>
      <c r="B32" s="9">
        <v>33</v>
      </c>
      <c r="C32" s="45">
        <v>5923253502</v>
      </c>
      <c r="D32" s="45">
        <v>5875634504</v>
      </c>
      <c r="E32" s="45">
        <v>47618998</v>
      </c>
      <c r="F32" s="63">
        <f>+GETPIVOTDATA("Suma de Valor Ahorro",$A$29,"Mes fin","Aug")/GETPIVOTDATA("Suma de Valor     Presupuestado ",$A$29,"Mes fin","Aug")</f>
        <v>8.0393314221519196E-3</v>
      </c>
      <c r="H32" s="8" t="s">
        <v>4435</v>
      </c>
      <c r="I32" s="9">
        <v>10</v>
      </c>
      <c r="J32" s="45">
        <v>12902061106.526316</v>
      </c>
      <c r="K32" s="45">
        <v>11561394531</v>
      </c>
      <c r="L32" s="45">
        <v>1340666575.5263162</v>
      </c>
      <c r="M32" s="63">
        <f>+GETPIVOTDATA("Suma de Valor Ahorro",$H$29,"Mes fin","may")/GETPIVOTDATA("Suma de Valor     Presupuestado ",$H$29,"Mes fin","may")</f>
        <v>0.10391103905469491</v>
      </c>
    </row>
    <row r="33" spans="1:14" ht="19.899999999999999" customHeight="1" x14ac:dyDescent="0.25">
      <c r="A33" s="8" t="s">
        <v>4262</v>
      </c>
      <c r="B33" s="9">
        <v>53</v>
      </c>
      <c r="C33" s="45">
        <v>9154944132</v>
      </c>
      <c r="D33" s="45">
        <v>8718178444</v>
      </c>
      <c r="E33" s="45">
        <v>436765688</v>
      </c>
      <c r="F33" s="127">
        <f>+GETPIVOTDATA("Suma de Valor Ahorro",$A$29,"Mes fin","sep")/GETPIVOTDATA("Suma de Valor     Presupuestado ",$A$29,"Mes fin","sep")</f>
        <v>4.7708176227240794E-2</v>
      </c>
      <c r="H33" s="8" t="s">
        <v>4436</v>
      </c>
      <c r="I33" s="9">
        <v>10</v>
      </c>
      <c r="J33" s="45">
        <v>9474546883</v>
      </c>
      <c r="K33" s="45">
        <v>9276621473</v>
      </c>
      <c r="L33" s="45">
        <v>197925410</v>
      </c>
      <c r="M33" s="63">
        <f>+GETPIVOTDATA("Suma de Valor Ahorro",$H$29,"Mes fin","jun")/GETPIVOTDATA("Suma de Valor     Presupuestado ",$H$29,"Mes fin","jun")</f>
        <v>2.0890224349951112E-2</v>
      </c>
    </row>
    <row r="34" spans="1:14" ht="19.899999999999999" customHeight="1" x14ac:dyDescent="0.25">
      <c r="A34" s="8" t="s">
        <v>4271</v>
      </c>
      <c r="B34" s="9">
        <v>10</v>
      </c>
      <c r="C34" s="45">
        <v>466065728</v>
      </c>
      <c r="D34" s="45">
        <v>464650152</v>
      </c>
      <c r="E34" s="45">
        <v>1415576</v>
      </c>
      <c r="F34" s="127">
        <f>+GETPIVOTDATA("Suma de Valor Ahorro",$A$29,"Mes fin","oct")/GETPIVOTDATA("Suma de Valor     Presupuestado ",$A$29,"Mes fin","oct")</f>
        <v>3.0372883371505917E-3</v>
      </c>
      <c r="H34" s="8" t="s">
        <v>4437</v>
      </c>
      <c r="I34" s="9">
        <v>14</v>
      </c>
      <c r="J34" s="372">
        <v>12996037596.6</v>
      </c>
      <c r="K34" s="372">
        <v>12843445951</v>
      </c>
      <c r="L34" s="372">
        <v>152591645.60000002</v>
      </c>
      <c r="M34" s="127">
        <f>+GETPIVOTDATA("Suma de Valor Ahorro",$H$29,"Mes fin","jul")/GETPIVOTDATA("Suma de Valor     Presupuestado ",$H$29,"Mes fin","jul")</f>
        <v>1.1741397673389369E-2</v>
      </c>
    </row>
    <row r="35" spans="1:14" ht="19.899999999999999" customHeight="1" x14ac:dyDescent="0.25">
      <c r="A35" s="8" t="s">
        <v>4274</v>
      </c>
      <c r="B35" s="9">
        <v>6</v>
      </c>
      <c r="C35" s="45">
        <v>272672503</v>
      </c>
      <c r="D35" s="45">
        <v>268619120</v>
      </c>
      <c r="E35" s="45">
        <v>4053383</v>
      </c>
      <c r="F35" s="127">
        <f>+GETPIVOTDATA("Suma de Valor Ahorro",$A$29,"Mes fin","Nov")/GETPIVOTDATA("Suma de Valor     Presupuestado ",$A$29,"Mes fin","Nov")</f>
        <v>1.4865389635565857E-2</v>
      </c>
      <c r="H35" s="8" t="s">
        <v>4438</v>
      </c>
      <c r="I35" s="9">
        <v>5</v>
      </c>
      <c r="J35" s="372">
        <v>11086588079</v>
      </c>
      <c r="K35" s="372">
        <v>10969884300</v>
      </c>
      <c r="L35" s="372">
        <v>116703779</v>
      </c>
      <c r="M35" s="127" t="e">
        <f>+GETPIVOTDATA("Suma de Valor Ahorro",$H$29,"Mes fin","ago")/GETPIVOTDATA("Suma de Valor     Presupuestado ",$H$29,"Mes fin","ago")</f>
        <v>#REF!</v>
      </c>
      <c r="N35" s="46" t="e">
        <f>+M35/1</f>
        <v>#REF!</v>
      </c>
    </row>
    <row r="36" spans="1:14" ht="19.899999999999999" customHeight="1" x14ac:dyDescent="0.25">
      <c r="A36" s="8" t="s">
        <v>4264</v>
      </c>
      <c r="B36" s="9">
        <v>19</v>
      </c>
      <c r="C36" s="45">
        <v>4549135473</v>
      </c>
      <c r="D36" s="45">
        <v>4478339499</v>
      </c>
      <c r="E36" s="45">
        <v>70795974</v>
      </c>
      <c r="F36" s="127">
        <f>+GETPIVOTDATA("Suma de Valor Ahorro",$A$29,"Mes fin","Dec")/GETPIVOTDATA("Suma de Valor     Presupuestado ",$A$29,"Mes fin","Dec")</f>
        <v>1.5562511694845717E-2</v>
      </c>
      <c r="H36" s="8" t="s">
        <v>4262</v>
      </c>
      <c r="I36" s="9">
        <v>16</v>
      </c>
      <c r="J36" s="372">
        <v>7857036048</v>
      </c>
      <c r="K36" s="372">
        <v>7642584908</v>
      </c>
      <c r="L36" s="372">
        <v>214451140</v>
      </c>
      <c r="M36" s="127">
        <f>+GETPIVOTDATA("Suma de Valor Ahorro",$H$29,"Mes fin","sep")/GETPIVOTDATA("Suma de Valor     Presupuestado ",$H$29,"Mes fin","sep")</f>
        <v>2.7294152488276838E-2</v>
      </c>
    </row>
    <row r="37" spans="1:14" ht="19.899999999999999" customHeight="1" x14ac:dyDescent="0.25">
      <c r="A37" s="8" t="s">
        <v>37</v>
      </c>
      <c r="B37" s="9">
        <v>203</v>
      </c>
      <c r="C37" s="45">
        <v>37134556823</v>
      </c>
      <c r="D37" s="45">
        <v>36266777873</v>
      </c>
      <c r="E37" s="45">
        <v>867778950</v>
      </c>
      <c r="F37" s="109">
        <f>+GETPIVOTDATA("Suma de Valor Ahorro",$A$29)/GETPIVOTDATA("Suma de Valor     Presupuestado ",$A$29)</f>
        <v>2.336850158563154E-2</v>
      </c>
      <c r="H37" s="8" t="s">
        <v>4271</v>
      </c>
      <c r="I37" s="9">
        <v>1</v>
      </c>
      <c r="J37" s="372">
        <v>691395355</v>
      </c>
      <c r="K37" s="372">
        <v>691395355</v>
      </c>
      <c r="L37" s="372">
        <v>0</v>
      </c>
      <c r="M37" s="127">
        <f>+GETPIVOTDATA("Suma de Valor Ahorro",$H$29,"Mes fin","oct")/GETPIVOTDATA("Suma de Valor     Presupuestado ",$H$29,"Mes fin","oct")</f>
        <v>0</v>
      </c>
    </row>
    <row r="38" spans="1:14" ht="19.899999999999999" customHeight="1" x14ac:dyDescent="0.25">
      <c r="H38" s="8" t="s">
        <v>4264</v>
      </c>
      <c r="I38" s="9">
        <v>3</v>
      </c>
      <c r="J38" s="372">
        <v>3164099661</v>
      </c>
      <c r="K38" s="372">
        <v>3072150157</v>
      </c>
      <c r="L38" s="372">
        <v>91949504</v>
      </c>
      <c r="M38" s="127">
        <f>+GETPIVOTDATA("Suma de Valor Ahorro",$H$29,"Mes fin","Dec")/GETPIVOTDATA("Suma de Valor     Presupuestado ",$H$29,"Mes fin","Dec")</f>
        <v>2.9060242676091863E-2</v>
      </c>
    </row>
    <row r="39" spans="1:14" ht="19.899999999999999" customHeight="1" x14ac:dyDescent="0.25">
      <c r="H39" s="8" t="s">
        <v>37</v>
      </c>
      <c r="I39" s="9">
        <v>73</v>
      </c>
      <c r="J39" s="45">
        <v>65728409377.126312</v>
      </c>
      <c r="K39" s="45">
        <v>63107616602.400002</v>
      </c>
      <c r="L39" s="45">
        <v>2620792774.726316</v>
      </c>
      <c r="M39" s="109">
        <f>+GETPIVOTDATA("Suma de Valor Ahorro",$H$29)/GETPIVOTDATA("Suma de Valor     Presupuestado ",$H$29)</f>
        <v>3.9873059451190067E-2</v>
      </c>
    </row>
    <row r="41" spans="1:14" ht="19.899999999999999" customHeight="1" x14ac:dyDescent="0.25">
      <c r="A41" s="7" t="s">
        <v>4440</v>
      </c>
      <c r="B41" s="74">
        <f>+GETPIVOTDATA("Cuenta de Ítem",$A$29,"Mes fin","Jan")</f>
        <v>73</v>
      </c>
      <c r="C41" s="49">
        <f>+GETPIVOTDATA("Suma de Valor     Presupuestado ",$A$29,"Mes fin","Jan")</f>
        <v>14892903013</v>
      </c>
      <c r="D41" s="49">
        <f>+GETPIVOTDATA("Suma de Valor ",$A$29,"Mes fin","Jan")</f>
        <v>14690676178</v>
      </c>
      <c r="E41" s="49">
        <f>+GETPIVOTDATA("Suma de Valor Ahorro",$A$29,"Mes fin","Jan")</f>
        <v>202226835</v>
      </c>
      <c r="F41" s="371">
        <f>+E41/C41</f>
        <v>1.357873846512506E-2</v>
      </c>
      <c r="H41" s="7" t="s">
        <v>4440</v>
      </c>
      <c r="I41" s="74">
        <f>+GETPIVOTDATA("Cuenta de Ítem",$H$29,"Mes fin","Feb")+GETPIVOTDATA("Cuenta de Ítem",$H$29,"Mes fin","Mar")</f>
        <v>14</v>
      </c>
      <c r="J41" s="49">
        <f>+GETPIVOTDATA("Suma de Valor     Presupuestado ",$H$29,"Mes fin","Feb")+GETPIVOTDATA("Suma de Valor     Presupuestado ",$H$29,"Mes fin","Mar")</f>
        <v>7556644648</v>
      </c>
      <c r="K41" s="49">
        <f>+GETPIVOTDATA("Suma de Valor ",$H$29,"Mes fin","Feb")+GETPIVOTDATA("Suma de Valor ",$H$29,"Mes fin","Mar")</f>
        <v>7050139927.3999996</v>
      </c>
      <c r="L41" s="49">
        <f>+GETPIVOTDATA("Suma de Valor Ahorro",$H$29,"Mes fin","Feb")+GETPIVOTDATA("Suma de Valor Ahorro",$H$29,"Mes fin","Mar")</f>
        <v>506504720.60000014</v>
      </c>
      <c r="M41" s="371">
        <f>+L41/J41</f>
        <v>6.7027727806951404E-2</v>
      </c>
    </row>
    <row r="42" spans="1:14" ht="19.899999999999999" customHeight="1" x14ac:dyDescent="0.25">
      <c r="A42" s="7" t="s">
        <v>4441</v>
      </c>
      <c r="B42" s="74">
        <v>0</v>
      </c>
      <c r="C42" s="49">
        <v>0</v>
      </c>
      <c r="D42" s="49">
        <v>0</v>
      </c>
      <c r="E42" s="49">
        <v>0</v>
      </c>
      <c r="F42" s="371">
        <v>0</v>
      </c>
      <c r="H42" s="7" t="s">
        <v>4441</v>
      </c>
      <c r="I42" s="74">
        <f>+GETPIVOTDATA("Cuenta de Ítem",$H$29,"Mes fin","May")+GETPIVOTDATA("Cuenta de Ítem",$H$29,"Mes fin","Jun")</f>
        <v>20</v>
      </c>
      <c r="J42" s="49">
        <f>+GETPIVOTDATA("Suma de Valor     Presupuestado ",$H$29,"Mes fin","May")+GETPIVOTDATA("Suma de Valor     Presupuestado ",$H$29,"Mes fin","Jun")</f>
        <v>22376607989.526314</v>
      </c>
      <c r="K42" s="49">
        <f>+GETPIVOTDATA("Suma de Valor ",$H$29,"Mes fin","May")+GETPIVOTDATA("Suma de Valor ",$H$29,"Mes fin","Jun")</f>
        <v>20838016004</v>
      </c>
      <c r="L42" s="49">
        <f>+GETPIVOTDATA("Suma de Valor Ahorro",$H$29,"Mes fin","May")+GETPIVOTDATA("Suma de Valor Ahorro",$H$29,"Mes fin","Jun")</f>
        <v>1538591985.5263162</v>
      </c>
      <c r="M42" s="371">
        <f t="shared" ref="M42:M45" si="2">+L42/J42</f>
        <v>6.8758946228421922E-2</v>
      </c>
    </row>
    <row r="43" spans="1:14" ht="19.899999999999999" customHeight="1" x14ac:dyDescent="0.25">
      <c r="A43" s="7" t="s">
        <v>4442</v>
      </c>
      <c r="B43" s="367">
        <f>+GETPIVOTDATA("Cuenta de Ítem",$A$29,"Mes fin","Jul")+GETPIVOTDATA("Cuenta de Ítem",$A$29,"Mes fin","Aug")+GETPIVOTDATA("Cuenta de Ítem",$A$29,"Mes fin","Sep")</f>
        <v>95</v>
      </c>
      <c r="C43" s="49">
        <f>+GETPIVOTDATA("Suma de Valor     Presupuestado ",$A$29,"Mes fin","Jul")+GETPIVOTDATA("Suma de Valor     Presupuestado ",$A$29,"Mes fin","Aug")+GETPIVOTDATA("Suma de Valor     Presupuestado ",$A$29,"Mes fin","Sep")</f>
        <v>16953780106</v>
      </c>
      <c r="D43" s="49">
        <f>+GETPIVOTDATA("Suma de Valor ",$A$29,"Mes fin","Jul")+GETPIVOTDATA("Suma de Valor ",$A$29,"Mes fin","Aug")+GETPIVOTDATA("Suma de Valor ",$A$29,"Mes fin","Sep")</f>
        <v>16364492924</v>
      </c>
      <c r="E43" s="49">
        <f>+GETPIVOTDATA("Suma de Valor Ahorro",$A$29,"Mes fin","Jul")+GETPIVOTDATA("Suma de Valor Ahorro",$A$29,"Mes fin","Aug")+GETPIVOTDATA("Suma de Valor Ahorro",$A$29,"Mes fin","Sep")</f>
        <v>589287182</v>
      </c>
      <c r="F43" s="371">
        <f t="shared" ref="F43:F45" si="3">+E43/C43</f>
        <v>3.4758453767573007E-2</v>
      </c>
      <c r="H43" s="7" t="s">
        <v>4442</v>
      </c>
      <c r="I43" s="367">
        <f>+GETPIVOTDATA("Cuenta de Ítem",$H$29,"Mes fin","Jul")+GETPIVOTDATA("Cuenta de Ítem",$H$29,"Mes fin","Aug")+GETPIVOTDATA("Cuenta de Ítem",$H$29,"Mes fin","Sep")</f>
        <v>35</v>
      </c>
      <c r="J43" s="49">
        <f>+GETPIVOTDATA("Suma de Valor     Presupuestado ",$H$29,"Mes fin","Jul")+GETPIVOTDATA("Suma de Valor     Presupuestado ",$H$29,"Mes fin","Aug")+GETPIVOTDATA("Suma de Valor     Presupuestado ",$H$29,"Mes fin","Sep")</f>
        <v>31939661723.599998</v>
      </c>
      <c r="K43" s="49">
        <f>+GETPIVOTDATA("Suma de Valor ",$H$29,"Mes fin","Jul")+GETPIVOTDATA("Suma de Valor ",$H$29,"Mes fin","Aug")+GETPIVOTDATA("Suma de Valor ",$H$29,"Mes fin","Sep")</f>
        <v>31455915159</v>
      </c>
      <c r="L43" s="49">
        <f>+GETPIVOTDATA("Suma de Valor Ahorro",$H$29,"Mes fin","Jul")+GETPIVOTDATA("Suma de Valor Ahorro",$H$29,"Mes fin","Aug")+GETPIVOTDATA("Suma de Valor Ahorro",$H$29,"Mes fin","Sep")</f>
        <v>483746564.60000002</v>
      </c>
      <c r="M43" s="371">
        <f t="shared" si="2"/>
        <v>1.5145638322229411E-2</v>
      </c>
    </row>
    <row r="44" spans="1:14" ht="19.899999999999999" customHeight="1" x14ac:dyDescent="0.25">
      <c r="A44" s="7" t="s">
        <v>4443</v>
      </c>
      <c r="B44" s="367">
        <f>+GETPIVOTDATA("Cuenta de Ítem",$A$29,"Mes fin","Oct")+GETPIVOTDATA("Cuenta de Ítem",$A$29,"Mes fin","Nov")+GETPIVOTDATA("Cuenta de Ítem",$A$29,"Mes fin","Dec")</f>
        <v>35</v>
      </c>
      <c r="C44" s="49">
        <f>+GETPIVOTDATA("Suma de Valor     Presupuestado ",$A$29,"Mes fin","Oct")+GETPIVOTDATA("Suma de Valor     Presupuestado ",$A$29,"Mes fin","Nov")+GETPIVOTDATA("Suma de Valor     Presupuestado ",$A$29,"Mes fin","Dec")</f>
        <v>5287873704</v>
      </c>
      <c r="D44" s="49">
        <f>+GETPIVOTDATA("Suma de Valor ",$A$29,"Mes fin","Oct")+GETPIVOTDATA("Suma de Valor ",$A$29,"Mes fin","Nov")+GETPIVOTDATA("Suma de Valor ",$A$29,"Mes fin","Dec")</f>
        <v>5211608771</v>
      </c>
      <c r="E44" s="49">
        <f>+GETPIVOTDATA("Suma de Valor Ahorro",$A$29,"Mes fin","Oct")+GETPIVOTDATA("Suma de Valor Ahorro",$A$29,"Mes fin","Nov")+GETPIVOTDATA("Suma de Valor Ahorro",$A$29,"Mes fin","Dec")</f>
        <v>76264933</v>
      </c>
      <c r="F44" s="371">
        <f t="shared" si="3"/>
        <v>1.4422608645571388E-2</v>
      </c>
      <c r="H44" s="7" t="s">
        <v>4443</v>
      </c>
      <c r="I44" s="367">
        <f>+GETPIVOTDATA("Cuenta de Ítem",$H$29,"Mes fin","Oct")+GETPIVOTDATA("Cuenta de Ítem",$H$29,"Mes fin","Dec")</f>
        <v>4</v>
      </c>
      <c r="J44" s="49">
        <f>+GETPIVOTDATA("Suma de Valor     Presupuestado ",$H$29,"Mes fin","Oct")+GETPIVOTDATA("Suma de Valor     Presupuestado ",$H$29,"Mes fin","Dec")</f>
        <v>3855495016</v>
      </c>
      <c r="K44" s="49">
        <f>+GETPIVOTDATA("Suma de Valor ",$H$29,"Mes fin","Oct")+GETPIVOTDATA("Suma de Valor ",$H$29,"Mes fin","Dec")</f>
        <v>3763545512</v>
      </c>
      <c r="L44" s="49">
        <f>+GETPIVOTDATA("Suma de Valor Ahorro",$H$29,"Mes fin","Oct")+GETPIVOTDATA("Suma de Valor Ahorro",$H$29,"Mes fin","Dec")</f>
        <v>91949504</v>
      </c>
      <c r="M44" s="371">
        <f t="shared" si="2"/>
        <v>2.3848948998356066E-2</v>
      </c>
    </row>
    <row r="45" spans="1:14" ht="19.899999999999999" customHeight="1" x14ac:dyDescent="0.25">
      <c r="A45" s="368" t="s">
        <v>49</v>
      </c>
      <c r="B45" s="369">
        <f>SUM(B41:B44)</f>
        <v>203</v>
      </c>
      <c r="C45" s="370">
        <f>SUM(C41:C44)</f>
        <v>37134556823</v>
      </c>
      <c r="D45" s="370">
        <f t="shared" ref="D45" si="4">SUM(D41:D44)</f>
        <v>36266777873</v>
      </c>
      <c r="E45" s="370">
        <f t="shared" ref="E45" si="5">SUM(E41:E44)</f>
        <v>867778950</v>
      </c>
      <c r="F45" s="363">
        <f t="shared" si="3"/>
        <v>2.336850158563154E-2</v>
      </c>
      <c r="H45" s="368" t="s">
        <v>49</v>
      </c>
      <c r="I45" s="369">
        <f>SUM(I41:I44)</f>
        <v>73</v>
      </c>
      <c r="J45" s="370">
        <f>SUM(J41:J44)</f>
        <v>65728409377.126312</v>
      </c>
      <c r="K45" s="370">
        <f t="shared" ref="K45" si="6">SUM(K41:K44)</f>
        <v>63107616602.400002</v>
      </c>
      <c r="L45" s="370">
        <f t="shared" ref="L45" si="7">SUM(L41:L44)</f>
        <v>2620792774.7263165</v>
      </c>
      <c r="M45" s="363">
        <f t="shared" si="2"/>
        <v>3.9873059451190074E-2</v>
      </c>
    </row>
  </sheetData>
  <mergeCells count="4">
    <mergeCell ref="A1:F1"/>
    <mergeCell ref="H1:M1"/>
    <mergeCell ref="A24:F24"/>
    <mergeCell ref="H24:M24"/>
  </mergeCells>
  <pageMargins left="0.7" right="0.7" top="0.75" bottom="0.75" header="0.3" footer="0.3"/>
  <pageSetup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3"/>
  <sheetViews>
    <sheetView workbookViewId="0">
      <selection activeCell="J8" sqref="J8"/>
    </sheetView>
  </sheetViews>
  <sheetFormatPr baseColWidth="10" defaultColWidth="11.5703125" defaultRowHeight="22.15" customHeight="1" x14ac:dyDescent="0.25"/>
  <cols>
    <col min="1" max="1" width="2.28515625" style="1" customWidth="1"/>
    <col min="2" max="2" width="13.140625" style="15" customWidth="1"/>
    <col min="3" max="3" width="15.140625" style="1" customWidth="1"/>
    <col min="4" max="4" width="31" style="1" customWidth="1"/>
    <col min="5" max="16384" width="11.5703125" style="1"/>
  </cols>
  <sheetData>
    <row r="1" spans="2:4" ht="22.15" customHeight="1" x14ac:dyDescent="0.25">
      <c r="B1" s="513" t="s">
        <v>126</v>
      </c>
      <c r="C1" s="513"/>
      <c r="D1" s="513"/>
    </row>
    <row r="2" spans="2:4" ht="22.15" customHeight="1" x14ac:dyDescent="0.25">
      <c r="B2" s="13" t="s">
        <v>44</v>
      </c>
      <c r="C2" s="14"/>
      <c r="D2" s="14" t="s">
        <v>45</v>
      </c>
    </row>
    <row r="3" spans="2:4" ht="22.15" customHeight="1" x14ac:dyDescent="0.25">
      <c r="B3" s="15">
        <v>44562</v>
      </c>
      <c r="C3" s="69" t="s">
        <v>102</v>
      </c>
      <c r="D3" s="69" t="s">
        <v>103</v>
      </c>
    </row>
    <row r="4" spans="2:4" ht="22.15" customHeight="1" x14ac:dyDescent="0.25">
      <c r="B4" s="15">
        <v>44571</v>
      </c>
      <c r="C4" s="69" t="s">
        <v>104</v>
      </c>
      <c r="D4" s="69" t="s">
        <v>105</v>
      </c>
    </row>
    <row r="5" spans="2:4" ht="22.15" customHeight="1" x14ac:dyDescent="0.25">
      <c r="B5" s="15">
        <v>44641</v>
      </c>
      <c r="C5" s="69" t="s">
        <v>104</v>
      </c>
      <c r="D5" s="69" t="s">
        <v>106</v>
      </c>
    </row>
    <row r="6" spans="2:4" ht="22.15" customHeight="1" x14ac:dyDescent="0.25">
      <c r="B6" s="70">
        <v>44662</v>
      </c>
      <c r="C6" s="71" t="s">
        <v>104</v>
      </c>
      <c r="D6" s="71" t="s">
        <v>127</v>
      </c>
    </row>
    <row r="7" spans="2:4" ht="22.15" customHeight="1" x14ac:dyDescent="0.25">
      <c r="B7" s="70">
        <v>44663</v>
      </c>
      <c r="C7" s="71" t="s">
        <v>128</v>
      </c>
      <c r="D7" s="71" t="s">
        <v>127</v>
      </c>
    </row>
    <row r="8" spans="2:4" ht="22.15" customHeight="1" x14ac:dyDescent="0.25">
      <c r="B8" s="70">
        <v>44664</v>
      </c>
      <c r="C8" s="71" t="s">
        <v>117</v>
      </c>
      <c r="D8" s="71" t="s">
        <v>127</v>
      </c>
    </row>
    <row r="9" spans="2:4" ht="22.15" customHeight="1" x14ac:dyDescent="0.25">
      <c r="B9" s="15">
        <v>44665</v>
      </c>
      <c r="C9" s="69" t="s">
        <v>107</v>
      </c>
      <c r="D9" s="69" t="s">
        <v>108</v>
      </c>
    </row>
    <row r="10" spans="2:4" ht="22.15" customHeight="1" x14ac:dyDescent="0.25">
      <c r="B10" s="15">
        <v>44666</v>
      </c>
      <c r="C10" s="69" t="s">
        <v>109</v>
      </c>
      <c r="D10" s="69" t="s">
        <v>110</v>
      </c>
    </row>
    <row r="11" spans="2:4" ht="22.15" customHeight="1" x14ac:dyDescent="0.25">
      <c r="B11" s="15">
        <v>44682</v>
      </c>
      <c r="C11" s="69" t="s">
        <v>111</v>
      </c>
      <c r="D11" s="69" t="s">
        <v>112</v>
      </c>
    </row>
    <row r="12" spans="2:4" ht="22.15" customHeight="1" x14ac:dyDescent="0.25">
      <c r="B12" s="15">
        <v>44711</v>
      </c>
      <c r="C12" s="69" t="s">
        <v>104</v>
      </c>
      <c r="D12" s="69" t="s">
        <v>113</v>
      </c>
    </row>
    <row r="13" spans="2:4" ht="22.15" customHeight="1" x14ac:dyDescent="0.25">
      <c r="B13" s="15">
        <v>44732</v>
      </c>
      <c r="C13" s="69" t="s">
        <v>104</v>
      </c>
      <c r="D13" s="69" t="s">
        <v>114</v>
      </c>
    </row>
    <row r="14" spans="2:4" ht="22.15" customHeight="1" x14ac:dyDescent="0.25">
      <c r="B14" s="15">
        <v>44739</v>
      </c>
      <c r="C14" s="69" t="s">
        <v>104</v>
      </c>
      <c r="D14" s="69" t="s">
        <v>115</v>
      </c>
    </row>
    <row r="15" spans="2:4" ht="22.15" customHeight="1" x14ac:dyDescent="0.25">
      <c r="B15" s="15">
        <v>44746</v>
      </c>
      <c r="C15" s="69" t="s">
        <v>104</v>
      </c>
      <c r="D15" s="69" t="s">
        <v>116</v>
      </c>
    </row>
    <row r="16" spans="2:4" ht="22.15" customHeight="1" x14ac:dyDescent="0.25">
      <c r="B16" s="15">
        <v>44762</v>
      </c>
      <c r="C16" s="69" t="s">
        <v>117</v>
      </c>
      <c r="D16" s="69" t="s">
        <v>118</v>
      </c>
    </row>
    <row r="17" spans="2:4" ht="22.15" customHeight="1" x14ac:dyDescent="0.25">
      <c r="B17" s="15">
        <v>44780</v>
      </c>
      <c r="C17" s="69" t="s">
        <v>111</v>
      </c>
      <c r="D17" s="69" t="s">
        <v>119</v>
      </c>
    </row>
    <row r="18" spans="2:4" ht="22.15" customHeight="1" x14ac:dyDescent="0.25">
      <c r="B18" s="15">
        <v>44788</v>
      </c>
      <c r="C18" s="69" t="s">
        <v>104</v>
      </c>
      <c r="D18" s="69" t="s">
        <v>125</v>
      </c>
    </row>
    <row r="19" spans="2:4" ht="22.15" customHeight="1" x14ac:dyDescent="0.25">
      <c r="B19" s="15">
        <v>44851</v>
      </c>
      <c r="C19" s="69" t="s">
        <v>104</v>
      </c>
      <c r="D19" s="69" t="s">
        <v>120</v>
      </c>
    </row>
    <row r="20" spans="2:4" ht="22.15" customHeight="1" x14ac:dyDescent="0.25">
      <c r="B20" s="15">
        <v>44872</v>
      </c>
      <c r="C20" s="69" t="s">
        <v>104</v>
      </c>
      <c r="D20" s="69" t="s">
        <v>121</v>
      </c>
    </row>
    <row r="21" spans="2:4" ht="22.15" customHeight="1" x14ac:dyDescent="0.25">
      <c r="B21" s="15">
        <v>44879</v>
      </c>
      <c r="C21" s="69" t="s">
        <v>104</v>
      </c>
      <c r="D21" s="69" t="s">
        <v>122</v>
      </c>
    </row>
    <row r="22" spans="2:4" ht="22.15" customHeight="1" x14ac:dyDescent="0.25">
      <c r="B22" s="15">
        <v>44903</v>
      </c>
      <c r="C22" s="69" t="s">
        <v>107</v>
      </c>
      <c r="D22" s="69" t="s">
        <v>123</v>
      </c>
    </row>
    <row r="23" spans="2:4" ht="22.15" customHeight="1" x14ac:dyDescent="0.25">
      <c r="B23" s="15">
        <v>44920</v>
      </c>
      <c r="C23" s="69" t="s">
        <v>111</v>
      </c>
      <c r="D23" s="69" t="s">
        <v>124</v>
      </c>
    </row>
  </sheetData>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CONSOLIDADO</vt:lpstr>
      <vt:lpstr>INF EJEC</vt:lpstr>
      <vt:lpstr>CONTROL</vt:lpstr>
      <vt:lpstr>GESTOR</vt:lpstr>
      <vt:lpstr>DÍAS PÚBL</vt:lpstr>
      <vt:lpstr>DÍAS PRIV</vt:lpstr>
      <vt:lpstr>AHORRO</vt:lpstr>
      <vt:lpstr>FESTIVOS</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Marcela Pimienta Carbonel</dc:creator>
  <cp:lastModifiedBy>Pablo Enrique Caicedo Quinaya</cp:lastModifiedBy>
  <cp:lastPrinted>2021-06-18T16:04:19Z</cp:lastPrinted>
  <dcterms:created xsi:type="dcterms:W3CDTF">2021-05-07T17:29:44Z</dcterms:created>
  <dcterms:modified xsi:type="dcterms:W3CDTF">2024-01-29T19:34:47Z</dcterms:modified>
</cp:coreProperties>
</file>